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kerst\Documents\IVIA\toetusprogrammid\ÕÜF\Ettevalmistus\Narva\Narva TI TTA\"/>
    </mc:Choice>
  </mc:AlternateContent>
  <bookViews>
    <workbookView xWindow="0" yWindow="0" windowWidth="19200" windowHeight="7300" tabRatio="914" activeTab="2"/>
  </bookViews>
  <sheets>
    <sheet name="Juhend" sheetId="6" r:id="rId1"/>
    <sheet name="Esileht" sheetId="9" r:id="rId2"/>
    <sheet name="1. Projekti elluviimise kulud" sheetId="2" r:id="rId3"/>
    <sheet name="2. Tulud-kulud projektiga" sheetId="1" r:id="rId4"/>
    <sheet name="Kulud" sheetId="21" state="hidden" r:id="rId5"/>
    <sheet name="3. Tulud-kulud projektita" sheetId="4" r:id="rId6"/>
    <sheet name="4. Lisanduvad tulud-kulud" sheetId="5" r:id="rId7"/>
    <sheet name="7. Tasuvus" sheetId="11" r:id="rId8"/>
    <sheet name="5. Abikõlblik kulu" sheetId="7" r:id="rId9"/>
    <sheet name="6. Rahavood" sheetId="8" r:id="rId10"/>
    <sheet name="8. Jääkväärtus" sheetId="13" r:id="rId11"/>
    <sheet name="Maksumäärad" sheetId="10" r:id="rId12"/>
    <sheet name="Arvestusperioodid" sheetId="12" r:id="rId13"/>
    <sheet name="Sisendandmed" sheetId="14" r:id="rId14"/>
    <sheet name="Eelarve" sheetId="18" r:id="rId15"/>
    <sheet name="Tulu" sheetId="22" state="hidden" r:id="rId16"/>
    <sheet name="Investeeringud" sheetId="17" r:id="rId17"/>
    <sheet name="Link tabel" sheetId="19" r:id="rId18"/>
    <sheet name="Eeldused_muugi" sheetId="15" r:id="rId19"/>
    <sheet name="SM moju" sheetId="16" r:id="rId20"/>
    <sheet name="Помещения" sheetId="20" r:id="rId21"/>
  </sheets>
  <externalReferences>
    <externalReference r:id="rId22"/>
    <externalReference r:id="rId23"/>
    <externalReference r:id="rId24"/>
    <externalReference r:id="rId25"/>
    <externalReference r:id="rId26"/>
    <externalReference r:id="rId27"/>
    <externalReference r:id="rId28"/>
  </externalReferences>
  <definedNames>
    <definedName name="Excel_BuiltIn_Database_0">#REF!</definedName>
    <definedName name="_xlnm.Print_Area" localSheetId="18">Eeldused_muugi!$A$1:$AL$84</definedName>
    <definedName name="_xlnm.Print_Area" localSheetId="13">Sisendandmed!$A$2:$H$55</definedName>
    <definedName name="_xlnm.Print_Titles" localSheetId="2">'1. Projekti elluviimise kulud'!$A:$B</definedName>
    <definedName name="_xlnm.Print_Titles" localSheetId="3">'2. Tulud-kulud projektiga'!$A:$C,'2. Tulud-kulud projektiga'!$2:$4</definedName>
    <definedName name="_xlnm.Print_Titles" localSheetId="5">'3. Tulud-kulud projektita'!$A:$C,'3. Tulud-kulud projektita'!$2:$4</definedName>
    <definedName name="_xlnm.Print_Titles" localSheetId="6">'4. Lisanduvad tulud-kulud'!$A:$C,'4. Lisanduvad tulud-kulud'!$2:$4</definedName>
    <definedName name="_xlnm.Print_Titles" localSheetId="9">'6. Rahavood'!$A:$A,'6. Rahavood'!$3:$4</definedName>
    <definedName name="_xlnm.Print_Titles" localSheetId="7">'7. Tasuvus'!$A:$A,'7. Tasuvus'!$3:$4</definedName>
    <definedName name="_xlnm.Print_Titles" localSheetId="10">'8. Jääkväärtus'!$A:$A,'8. Jääkväärtus'!$6:$7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6" l="1"/>
  <c r="D7" i="17"/>
  <c r="E7" i="17"/>
  <c r="E11" i="17" l="1"/>
  <c r="E16" i="17"/>
  <c r="E14" i="17"/>
  <c r="E6" i="17"/>
  <c r="E5" i="17" l="1"/>
  <c r="E4" i="17" s="1"/>
  <c r="D4" i="17" s="1"/>
  <c r="K60" i="1"/>
  <c r="L60" i="1" s="1"/>
  <c r="M60" i="1" s="1"/>
  <c r="N60" i="1" s="1"/>
  <c r="O60" i="1" s="1"/>
  <c r="P60" i="1" s="1"/>
  <c r="Q60" i="1" s="1"/>
  <c r="R60" i="1" s="1"/>
  <c r="J60" i="1"/>
  <c r="I60" i="1"/>
  <c r="H60" i="1"/>
  <c r="G60" i="1"/>
  <c r="F60" i="1"/>
  <c r="E60" i="1"/>
  <c r="E27" i="8"/>
  <c r="L58" i="1"/>
  <c r="M58" i="1" s="1"/>
  <c r="N58" i="1" s="1"/>
  <c r="O58" i="1" s="1"/>
  <c r="P58" i="1" s="1"/>
  <c r="Q58" i="1" s="1"/>
  <c r="R58" i="1" s="1"/>
  <c r="K59" i="1"/>
  <c r="L59" i="1" s="1"/>
  <c r="M59" i="1" s="1"/>
  <c r="N59" i="1" s="1"/>
  <c r="O59" i="1" s="1"/>
  <c r="P59" i="1" s="1"/>
  <c r="Q59" i="1" s="1"/>
  <c r="R59" i="1" s="1"/>
  <c r="K58" i="1"/>
  <c r="J59" i="1"/>
  <c r="I59" i="1"/>
  <c r="H59" i="1"/>
  <c r="G59" i="1"/>
  <c r="E59" i="1"/>
  <c r="E58" i="1" l="1"/>
  <c r="I58" i="1"/>
  <c r="J58" i="1" s="1"/>
  <c r="H58" i="1"/>
  <c r="F58" i="1"/>
  <c r="G58" i="1" s="1"/>
  <c r="F59" i="1"/>
  <c r="D26" i="21"/>
  <c r="C26" i="21"/>
  <c r="G28" i="21"/>
  <c r="E28" i="21"/>
  <c r="D28" i="21"/>
  <c r="C28" i="21"/>
  <c r="C27" i="21"/>
  <c r="C8" i="14" l="1"/>
  <c r="E15" i="17"/>
  <c r="G12" i="1"/>
  <c r="H12" i="1"/>
  <c r="I12" i="1"/>
  <c r="J12" i="1"/>
  <c r="K12" i="1"/>
  <c r="L12" i="1"/>
  <c r="M12" i="1"/>
  <c r="N12" i="1"/>
  <c r="O12" i="1"/>
  <c r="P12" i="1"/>
  <c r="Q12" i="1"/>
  <c r="R12" i="1"/>
  <c r="G8" i="1"/>
  <c r="H8" i="1"/>
  <c r="I8" i="1"/>
  <c r="J8" i="1"/>
  <c r="K8" i="1"/>
  <c r="L8" i="1"/>
  <c r="M8" i="1"/>
  <c r="N8" i="1"/>
  <c r="O8" i="1"/>
  <c r="P8" i="1"/>
  <c r="Q8" i="1"/>
  <c r="R8" i="1"/>
  <c r="F12" i="1"/>
  <c r="F8" i="1"/>
  <c r="E8" i="2" l="1"/>
  <c r="AF55" i="16"/>
  <c r="AF7" i="16"/>
  <c r="AK55" i="16"/>
  <c r="AK7" i="16"/>
  <c r="E29" i="16" l="1"/>
  <c r="F26" i="16" l="1"/>
  <c r="H7" i="16"/>
  <c r="I7" i="16"/>
  <c r="J7" i="16"/>
  <c r="K7" i="16"/>
  <c r="L7" i="16"/>
  <c r="M7" i="16"/>
  <c r="N7" i="16"/>
  <c r="O7" i="16"/>
  <c r="P7" i="16"/>
  <c r="Q7" i="16"/>
  <c r="R7" i="16"/>
  <c r="S7" i="16"/>
  <c r="T7" i="16"/>
  <c r="U7" i="16"/>
  <c r="V7" i="16"/>
  <c r="W7" i="16"/>
  <c r="X7" i="16"/>
  <c r="Y7" i="16"/>
  <c r="Z7" i="16"/>
  <c r="AA7" i="16"/>
  <c r="AB7" i="16"/>
  <c r="AC7" i="16"/>
  <c r="AD7" i="16"/>
  <c r="AE7" i="16"/>
  <c r="G7" i="16"/>
  <c r="D3" i="10"/>
  <c r="E3" i="10" s="1"/>
  <c r="F3" i="10" s="1"/>
  <c r="G3" i="10" s="1"/>
  <c r="H3" i="10" s="1"/>
  <c r="I3" i="10" s="1"/>
  <c r="J3" i="10" s="1"/>
  <c r="K3" i="10" s="1"/>
  <c r="L3" i="10" s="1"/>
  <c r="M3" i="10" s="1"/>
  <c r="N3" i="10" s="1"/>
  <c r="O3" i="10" s="1"/>
  <c r="P3" i="10" s="1"/>
  <c r="D4" i="10"/>
  <c r="E4" i="10" s="1"/>
  <c r="F4" i="10" s="1"/>
  <c r="G4" i="10" s="1"/>
  <c r="H4" i="10" s="1"/>
  <c r="I4" i="10" s="1"/>
  <c r="J4" i="10" s="1"/>
  <c r="K4" i="10" s="1"/>
  <c r="L4" i="10" s="1"/>
  <c r="M4" i="10" s="1"/>
  <c r="N4" i="10" s="1"/>
  <c r="O4" i="10" s="1"/>
  <c r="P4" i="10" s="1"/>
  <c r="C4" i="10"/>
  <c r="C3" i="10"/>
  <c r="A108" i="1" l="1"/>
  <c r="A107" i="1"/>
  <c r="A106" i="1"/>
  <c r="B94" i="1" l="1"/>
  <c r="B89" i="1"/>
  <c r="B88" i="1"/>
  <c r="B87" i="1"/>
  <c r="B86" i="1"/>
  <c r="B85" i="1"/>
  <c r="B84" i="1"/>
  <c r="B83" i="1"/>
  <c r="B82" i="1"/>
  <c r="X77" i="15"/>
  <c r="P77" i="15"/>
  <c r="H77" i="15"/>
  <c r="AA73" i="15"/>
  <c r="S73" i="15"/>
  <c r="K73" i="15"/>
  <c r="K106" i="1" s="1"/>
  <c r="AD72" i="15"/>
  <c r="AC72" i="15"/>
  <c r="AB72" i="15"/>
  <c r="AA72" i="15"/>
  <c r="Z72" i="15"/>
  <c r="Y72" i="15"/>
  <c r="X72" i="15"/>
  <c r="W72" i="15"/>
  <c r="V72" i="15"/>
  <c r="U72" i="15"/>
  <c r="T72" i="15"/>
  <c r="S72" i="15"/>
  <c r="R72" i="15"/>
  <c r="Q72" i="15"/>
  <c r="P72" i="15"/>
  <c r="O72" i="15"/>
  <c r="O67" i="15" s="1"/>
  <c r="O89" i="1" s="1"/>
  <c r="N72" i="15"/>
  <c r="M72" i="15"/>
  <c r="L72" i="15"/>
  <c r="K72" i="15"/>
  <c r="J72" i="15"/>
  <c r="I72" i="15"/>
  <c r="H72" i="15"/>
  <c r="H67" i="15" s="1"/>
  <c r="H89" i="1" s="1"/>
  <c r="G72" i="15"/>
  <c r="G67" i="15" s="1"/>
  <c r="G89" i="1" s="1"/>
  <c r="AD71" i="15"/>
  <c r="AC71" i="15"/>
  <c r="AB71" i="15"/>
  <c r="AA71" i="15"/>
  <c r="Z71" i="15"/>
  <c r="Y71" i="15"/>
  <c r="X71" i="15"/>
  <c r="W71" i="15"/>
  <c r="V71" i="15"/>
  <c r="U71" i="15"/>
  <c r="T71" i="15"/>
  <c r="S71" i="15"/>
  <c r="R71" i="15"/>
  <c r="Q71" i="15"/>
  <c r="P71" i="15"/>
  <c r="O71" i="15"/>
  <c r="N71" i="15"/>
  <c r="M71" i="15"/>
  <c r="L71" i="15"/>
  <c r="K71" i="15"/>
  <c r="J71" i="15"/>
  <c r="I71" i="15"/>
  <c r="H71" i="15"/>
  <c r="G71" i="15"/>
  <c r="AD70" i="15"/>
  <c r="AC70" i="15"/>
  <c r="AB70" i="15"/>
  <c r="AA70" i="15"/>
  <c r="Z70" i="15"/>
  <c r="Y70" i="15"/>
  <c r="X70" i="15"/>
  <c r="W70" i="15"/>
  <c r="V70" i="15"/>
  <c r="U70" i="15"/>
  <c r="T70" i="15"/>
  <c r="S70" i="15"/>
  <c r="R70" i="15"/>
  <c r="Q70" i="15"/>
  <c r="P70" i="15"/>
  <c r="O70" i="15"/>
  <c r="N70" i="15"/>
  <c r="M70" i="15"/>
  <c r="L70" i="15"/>
  <c r="K70" i="15"/>
  <c r="J70" i="15"/>
  <c r="I70" i="15"/>
  <c r="H70" i="15"/>
  <c r="G70" i="15"/>
  <c r="AD69" i="15"/>
  <c r="AC69" i="15"/>
  <c r="AB69" i="15"/>
  <c r="AA69" i="15"/>
  <c r="Z69" i="15"/>
  <c r="Y69" i="15"/>
  <c r="X69" i="15"/>
  <c r="W69" i="15"/>
  <c r="V69" i="15"/>
  <c r="U69" i="15"/>
  <c r="T69" i="15"/>
  <c r="S69" i="15"/>
  <c r="R69" i="15"/>
  <c r="Q69" i="15"/>
  <c r="P69" i="15"/>
  <c r="O69" i="15"/>
  <c r="N69" i="15"/>
  <c r="M69" i="15"/>
  <c r="L69" i="15"/>
  <c r="K69" i="15"/>
  <c r="J69" i="15"/>
  <c r="I69" i="15"/>
  <c r="H69" i="15"/>
  <c r="G69" i="15"/>
  <c r="AD68" i="15"/>
  <c r="AC68" i="15"/>
  <c r="AB68" i="15"/>
  <c r="AA68" i="15"/>
  <c r="Z68" i="15"/>
  <c r="Y68" i="15"/>
  <c r="X68" i="15"/>
  <c r="W68" i="15"/>
  <c r="V68" i="15"/>
  <c r="U68" i="15"/>
  <c r="T68" i="15"/>
  <c r="S68" i="15"/>
  <c r="S67" i="15" s="1"/>
  <c r="R68" i="15"/>
  <c r="Q68" i="15"/>
  <c r="P68" i="15"/>
  <c r="P67" i="15" s="1"/>
  <c r="P89" i="1" s="1"/>
  <c r="O68" i="15"/>
  <c r="N68" i="15"/>
  <c r="M68" i="15"/>
  <c r="L68" i="15"/>
  <c r="K68" i="15"/>
  <c r="J68" i="15"/>
  <c r="J67" i="15" s="1"/>
  <c r="J89" i="1" s="1"/>
  <c r="I68" i="15"/>
  <c r="H68" i="15"/>
  <c r="G68" i="15"/>
  <c r="AD67" i="15"/>
  <c r="AC67" i="15"/>
  <c r="AB67" i="15"/>
  <c r="AA67" i="15"/>
  <c r="Z67" i="15"/>
  <c r="Y67" i="15"/>
  <c r="X67" i="15"/>
  <c r="W67" i="15"/>
  <c r="V67" i="15"/>
  <c r="U67" i="15"/>
  <c r="T67" i="15"/>
  <c r="R67" i="15"/>
  <c r="R89" i="1" s="1"/>
  <c r="Q67" i="15"/>
  <c r="Q89" i="1" s="1"/>
  <c r="AC64" i="15"/>
  <c r="AB64" i="15"/>
  <c r="AA64" i="15"/>
  <c r="X64" i="15"/>
  <c r="U64" i="15"/>
  <c r="T64" i="15"/>
  <c r="S64" i="15"/>
  <c r="P64" i="15"/>
  <c r="M64" i="15"/>
  <c r="L64" i="15"/>
  <c r="K64" i="15"/>
  <c r="H64" i="15"/>
  <c r="F71" i="15"/>
  <c r="F70" i="15"/>
  <c r="F69" i="15"/>
  <c r="F68" i="15"/>
  <c r="F64" i="15"/>
  <c r="AD52" i="15"/>
  <c r="AA52" i="15"/>
  <c r="X52" i="15"/>
  <c r="W52" i="15"/>
  <c r="V52" i="15"/>
  <c r="S52" i="15"/>
  <c r="P52" i="15"/>
  <c r="O52" i="15"/>
  <c r="N52" i="15"/>
  <c r="K52" i="15"/>
  <c r="H52" i="15"/>
  <c r="G52" i="15"/>
  <c r="X51" i="15"/>
  <c r="H56" i="15"/>
  <c r="F52" i="15"/>
  <c r="AD49" i="15"/>
  <c r="AC49" i="15"/>
  <c r="AB49" i="15"/>
  <c r="AA49" i="15"/>
  <c r="Z49" i="15"/>
  <c r="Y49" i="15"/>
  <c r="X49" i="15"/>
  <c r="W49" i="15"/>
  <c r="V49" i="15"/>
  <c r="U49" i="15"/>
  <c r="T49" i="15"/>
  <c r="S49" i="15"/>
  <c r="R49" i="15"/>
  <c r="Q49" i="15"/>
  <c r="P49" i="15"/>
  <c r="O49" i="15"/>
  <c r="N49" i="15"/>
  <c r="M49" i="15"/>
  <c r="L49" i="15"/>
  <c r="K49" i="15"/>
  <c r="J49" i="15"/>
  <c r="I49" i="15"/>
  <c r="H49" i="15"/>
  <c r="G49" i="15"/>
  <c r="F49" i="15"/>
  <c r="F6" i="15"/>
  <c r="F72" i="15"/>
  <c r="C21" i="18"/>
  <c r="B21" i="18" s="1"/>
  <c r="A29" i="17"/>
  <c r="A32" i="18" s="1"/>
  <c r="A69" i="21" s="1"/>
  <c r="E70" i="21"/>
  <c r="D70" i="21" s="1"/>
  <c r="E69" i="21"/>
  <c r="D69" i="21" s="1"/>
  <c r="E68" i="21"/>
  <c r="D68" i="21" s="1"/>
  <c r="E20" i="17"/>
  <c r="C30" i="17"/>
  <c r="C29" i="17"/>
  <c r="C32" i="18" s="1"/>
  <c r="B32" i="18" s="1"/>
  <c r="C28" i="17"/>
  <c r="C27" i="17"/>
  <c r="F56" i="21"/>
  <c r="H22" i="22" s="1"/>
  <c r="F54" i="21"/>
  <c r="G54" i="21" s="1"/>
  <c r="F53" i="21"/>
  <c r="F52" i="21"/>
  <c r="F51" i="21"/>
  <c r="F47" i="21"/>
  <c r="K47" i="21" s="1"/>
  <c r="A70" i="21"/>
  <c r="A68" i="21"/>
  <c r="A67" i="21"/>
  <c r="E32" i="21"/>
  <c r="F71" i="21"/>
  <c r="K66" i="21"/>
  <c r="J66" i="21"/>
  <c r="E61" i="21"/>
  <c r="G61" i="21" s="1"/>
  <c r="E60" i="21"/>
  <c r="W77" i="15" s="1"/>
  <c r="E59" i="21"/>
  <c r="AD76" i="15" s="1"/>
  <c r="J58" i="21"/>
  <c r="E56" i="21"/>
  <c r="Z73" i="15" s="1"/>
  <c r="E54" i="21"/>
  <c r="D54" i="21"/>
  <c r="D53" i="21"/>
  <c r="E52" i="21"/>
  <c r="D52" i="21"/>
  <c r="E51" i="21"/>
  <c r="D51" i="21" s="1"/>
  <c r="E47" i="21"/>
  <c r="Z64" i="15" s="1"/>
  <c r="D46" i="21"/>
  <c r="E46" i="21" s="1"/>
  <c r="AB63" i="15" s="1"/>
  <c r="AB62" i="15" s="1"/>
  <c r="J45" i="21"/>
  <c r="G40" i="21"/>
  <c r="D40" i="21"/>
  <c r="E39" i="21"/>
  <c r="E38" i="21" s="1"/>
  <c r="F56" i="15" s="1"/>
  <c r="F55" i="15" s="1"/>
  <c r="F94" i="1" s="1"/>
  <c r="K38" i="21"/>
  <c r="J38" i="21"/>
  <c r="F38" i="21"/>
  <c r="G35" i="21"/>
  <c r="E35" i="21"/>
  <c r="AC52" i="15" s="1"/>
  <c r="E34" i="21"/>
  <c r="W51" i="15" s="1"/>
  <c r="K33" i="21"/>
  <c r="J33" i="21"/>
  <c r="F33" i="21"/>
  <c r="G32" i="21"/>
  <c r="K29" i="21"/>
  <c r="J29" i="21"/>
  <c r="F29" i="21"/>
  <c r="D27" i="21"/>
  <c r="E27" i="21" s="1"/>
  <c r="E26" i="21"/>
  <c r="K25" i="21"/>
  <c r="J25" i="21"/>
  <c r="F25" i="21"/>
  <c r="J24" i="21"/>
  <c r="K23" i="21"/>
  <c r="G14" i="21"/>
  <c r="C10" i="22"/>
  <c r="C8" i="22" s="1"/>
  <c r="E10" i="22"/>
  <c r="F10" i="22" s="1"/>
  <c r="B32" i="22"/>
  <c r="B23" i="22"/>
  <c r="B22" i="22"/>
  <c r="B21" i="22"/>
  <c r="B20" i="22"/>
  <c r="B19" i="22"/>
  <c r="B18" i="22"/>
  <c r="B17" i="22"/>
  <c r="B16" i="22"/>
  <c r="E9" i="22"/>
  <c r="G9" i="22" s="1"/>
  <c r="C9" i="22"/>
  <c r="D7" i="22"/>
  <c r="C7" i="22"/>
  <c r="C41" i="14"/>
  <c r="F20" i="15" s="1"/>
  <c r="D43" i="14"/>
  <c r="G42" i="14"/>
  <c r="C47" i="14" s="1"/>
  <c r="E47" i="14" s="1"/>
  <c r="E41" i="14"/>
  <c r="E43" i="14" s="1"/>
  <c r="H37" i="14"/>
  <c r="E37" i="14"/>
  <c r="D37" i="14"/>
  <c r="H36" i="14"/>
  <c r="D36" i="14"/>
  <c r="E36" i="14" s="1"/>
  <c r="H35" i="14"/>
  <c r="E35" i="14"/>
  <c r="D35" i="14"/>
  <c r="C30" i="14"/>
  <c r="E30" i="14" s="1"/>
  <c r="D30" i="14" s="1"/>
  <c r="D67" i="20"/>
  <c r="C67" i="20"/>
  <c r="D65" i="20"/>
  <c r="C65" i="20"/>
  <c r="D64" i="20"/>
  <c r="C64" i="20"/>
  <c r="D63" i="20"/>
  <c r="C63" i="20"/>
  <c r="F63" i="20" s="1"/>
  <c r="G63" i="20" s="1"/>
  <c r="F57" i="20"/>
  <c r="G57" i="20" s="1"/>
  <c r="D52" i="20"/>
  <c r="F7" i="15" s="1"/>
  <c r="G7" i="15" s="1"/>
  <c r="H7" i="15" s="1"/>
  <c r="F55" i="20"/>
  <c r="G55" i="20" s="1"/>
  <c r="F54" i="20"/>
  <c r="F53" i="20"/>
  <c r="G53" i="20" s="1"/>
  <c r="G54" i="20"/>
  <c r="E55" i="20"/>
  <c r="E54" i="20"/>
  <c r="E53" i="20"/>
  <c r="C52" i="20"/>
  <c r="E52" i="20" s="1"/>
  <c r="C22" i="14"/>
  <c r="C23" i="14" s="1"/>
  <c r="E57" i="20"/>
  <c r="E8" i="19"/>
  <c r="B8" i="19"/>
  <c r="A8" i="19"/>
  <c r="E7" i="19"/>
  <c r="B7" i="19"/>
  <c r="A7" i="19"/>
  <c r="E6" i="19"/>
  <c r="B6" i="19"/>
  <c r="A6" i="19"/>
  <c r="B5" i="19"/>
  <c r="A5" i="19"/>
  <c r="B4" i="19"/>
  <c r="A4" i="19"/>
  <c r="C3" i="19"/>
  <c r="B3" i="19"/>
  <c r="A3" i="19"/>
  <c r="C26" i="17"/>
  <c r="B26" i="17"/>
  <c r="A26" i="17"/>
  <c r="G70" i="21"/>
  <c r="AO107" i="16"/>
  <c r="AO106" i="16"/>
  <c r="AM106" i="16"/>
  <c r="AN105" i="16"/>
  <c r="AL105" i="16"/>
  <c r="AO104" i="16"/>
  <c r="AO105" i="16" s="1"/>
  <c r="AM104" i="16"/>
  <c r="AM105" i="16" s="1"/>
  <c r="AM103" i="16"/>
  <c r="AO103" i="16" s="1"/>
  <c r="AN102" i="16"/>
  <c r="AL102" i="16"/>
  <c r="G94" i="16"/>
  <c r="E5" i="19" s="1"/>
  <c r="A86" i="16"/>
  <c r="A89" i="16" s="1"/>
  <c r="H78" i="16"/>
  <c r="G78" i="16"/>
  <c r="F78" i="16"/>
  <c r="A72" i="16"/>
  <c r="AE66" i="16"/>
  <c r="AD66" i="16"/>
  <c r="AC66" i="16"/>
  <c r="AB66" i="16"/>
  <c r="AA66" i="16"/>
  <c r="Z66" i="16"/>
  <c r="Y66" i="16"/>
  <c r="X66" i="16"/>
  <c r="W66" i="16"/>
  <c r="V66" i="16"/>
  <c r="U66" i="16"/>
  <c r="T66" i="16"/>
  <c r="S66" i="16"/>
  <c r="R66" i="16"/>
  <c r="Q66" i="16"/>
  <c r="P66" i="16"/>
  <c r="O66" i="16"/>
  <c r="N66" i="16"/>
  <c r="M66" i="16"/>
  <c r="L66" i="16"/>
  <c r="K66" i="16"/>
  <c r="J66" i="16"/>
  <c r="I66" i="16"/>
  <c r="H66" i="16"/>
  <c r="H80" i="16" s="1"/>
  <c r="G66" i="16"/>
  <c r="G80" i="16" s="1"/>
  <c r="E80" i="16"/>
  <c r="F50" i="16"/>
  <c r="E50" i="16"/>
  <c r="B40" i="16"/>
  <c r="F38" i="16"/>
  <c r="F44" i="16" s="1"/>
  <c r="E38" i="16"/>
  <c r="B38" i="16"/>
  <c r="B36" i="16"/>
  <c r="E36" i="16" s="1"/>
  <c r="F33" i="16"/>
  <c r="F41" i="16" s="1"/>
  <c r="E33" i="16"/>
  <c r="B30" i="16"/>
  <c r="E30" i="16" s="1"/>
  <c r="E27" i="16"/>
  <c r="H25" i="16"/>
  <c r="G25" i="16"/>
  <c r="F25" i="16"/>
  <c r="F27" i="16" s="1"/>
  <c r="J24" i="16"/>
  <c r="J54" i="16" s="1"/>
  <c r="I24" i="16"/>
  <c r="AH24" i="16" s="1"/>
  <c r="H24" i="16"/>
  <c r="H54" i="16" s="1"/>
  <c r="G24" i="16"/>
  <c r="G54" i="16" s="1"/>
  <c r="F24" i="16"/>
  <c r="AH23" i="16"/>
  <c r="J22" i="16"/>
  <c r="I31" i="16" s="1"/>
  <c r="I22" i="16"/>
  <c r="H22" i="16"/>
  <c r="G22" i="16"/>
  <c r="F22" i="16"/>
  <c r="F17" i="16"/>
  <c r="E17" i="16"/>
  <c r="F16" i="16"/>
  <c r="E16" i="16"/>
  <c r="B13" i="16"/>
  <c r="F12" i="16"/>
  <c r="F13" i="16" s="1"/>
  <c r="F14" i="16" s="1"/>
  <c r="E12" i="16"/>
  <c r="E13" i="16" s="1"/>
  <c r="B11" i="16"/>
  <c r="B9" i="16"/>
  <c r="AE55" i="16"/>
  <c r="AD55" i="16"/>
  <c r="AC55" i="16"/>
  <c r="AB55" i="16"/>
  <c r="AA55" i="16"/>
  <c r="Z55" i="16"/>
  <c r="Y55" i="16"/>
  <c r="X55" i="16"/>
  <c r="W55" i="16"/>
  <c r="V55" i="16"/>
  <c r="U55" i="16"/>
  <c r="T55" i="16"/>
  <c r="S55" i="16"/>
  <c r="R55" i="16"/>
  <c r="Q55" i="16"/>
  <c r="P55" i="16"/>
  <c r="AJ55" i="16" s="1"/>
  <c r="O55" i="16"/>
  <c r="N55" i="16"/>
  <c r="M55" i="16"/>
  <c r="L55" i="16"/>
  <c r="K55" i="16"/>
  <c r="AI55" i="16" s="1"/>
  <c r="J55" i="16"/>
  <c r="I55" i="16"/>
  <c r="AH55" i="16" s="1"/>
  <c r="H55" i="16"/>
  <c r="G55" i="16"/>
  <c r="F7" i="16"/>
  <c r="E7" i="16"/>
  <c r="F6" i="16"/>
  <c r="E6" i="16"/>
  <c r="AE3" i="16"/>
  <c r="AD3" i="16"/>
  <c r="AC3" i="16"/>
  <c r="AB3" i="16"/>
  <c r="AA3" i="16"/>
  <c r="Z3" i="16"/>
  <c r="Y3" i="16"/>
  <c r="X3" i="16"/>
  <c r="W3" i="16"/>
  <c r="V3" i="16"/>
  <c r="U3" i="16"/>
  <c r="T3" i="16"/>
  <c r="S3" i="16"/>
  <c r="R3" i="16"/>
  <c r="Q3" i="16"/>
  <c r="P3" i="16"/>
  <c r="O3" i="16"/>
  <c r="N3" i="16"/>
  <c r="M3" i="16"/>
  <c r="L3" i="16"/>
  <c r="K3" i="16"/>
  <c r="J3" i="16"/>
  <c r="I3" i="16"/>
  <c r="H3" i="16"/>
  <c r="G3" i="16"/>
  <c r="F3" i="16"/>
  <c r="E3" i="16"/>
  <c r="AE2" i="16"/>
  <c r="AD2" i="16"/>
  <c r="AC2" i="16"/>
  <c r="AB2" i="16"/>
  <c r="AA2" i="16"/>
  <c r="Z2" i="16"/>
  <c r="Y2" i="16"/>
  <c r="X2" i="16"/>
  <c r="W2" i="16"/>
  <c r="V2" i="16"/>
  <c r="U2" i="16"/>
  <c r="T2" i="16"/>
  <c r="S2" i="16"/>
  <c r="R2" i="16"/>
  <c r="Q2" i="16"/>
  <c r="P2" i="16"/>
  <c r="O2" i="16"/>
  <c r="N2" i="16"/>
  <c r="M2" i="16"/>
  <c r="L2" i="16"/>
  <c r="K2" i="16"/>
  <c r="J2" i="16"/>
  <c r="I2" i="16"/>
  <c r="H2" i="16"/>
  <c r="G2" i="16"/>
  <c r="A72" i="15"/>
  <c r="D3" i="15"/>
  <c r="E3" i="15" s="1"/>
  <c r="F3" i="15" s="1"/>
  <c r="G3" i="15" s="1"/>
  <c r="H3" i="15" s="1"/>
  <c r="I3" i="15" s="1"/>
  <c r="J3" i="15" s="1"/>
  <c r="K3" i="15" s="1"/>
  <c r="L3" i="15" s="1"/>
  <c r="M3" i="15" s="1"/>
  <c r="N3" i="15" s="1"/>
  <c r="O3" i="15" s="1"/>
  <c r="P3" i="15" s="1"/>
  <c r="Q3" i="15" s="1"/>
  <c r="R3" i="15" s="1"/>
  <c r="S3" i="15" s="1"/>
  <c r="T3" i="15" s="1"/>
  <c r="U3" i="15" s="1"/>
  <c r="V3" i="15" s="1"/>
  <c r="W3" i="15" s="1"/>
  <c r="X3" i="15" s="1"/>
  <c r="Y3" i="15" s="1"/>
  <c r="Z3" i="15" s="1"/>
  <c r="AA3" i="15" s="1"/>
  <c r="AB3" i="15" s="1"/>
  <c r="AC3" i="15" s="1"/>
  <c r="AD3" i="15" s="1"/>
  <c r="AE3" i="15" s="1"/>
  <c r="AD2" i="15"/>
  <c r="AC2" i="15"/>
  <c r="AB2" i="15"/>
  <c r="AA2" i="15"/>
  <c r="Z2" i="15"/>
  <c r="Y2" i="15"/>
  <c r="X2" i="15"/>
  <c r="W2" i="15"/>
  <c r="V2" i="15"/>
  <c r="U2" i="15"/>
  <c r="T2" i="15"/>
  <c r="S2" i="15"/>
  <c r="R2" i="15"/>
  <c r="Q2" i="15"/>
  <c r="P2" i="15"/>
  <c r="O2" i="15"/>
  <c r="N2" i="15"/>
  <c r="M2" i="15"/>
  <c r="L2" i="15"/>
  <c r="K2" i="15"/>
  <c r="J2" i="15"/>
  <c r="I2" i="15"/>
  <c r="H2" i="15"/>
  <c r="G2" i="15"/>
  <c r="F2" i="15"/>
  <c r="D2" i="15"/>
  <c r="D1" i="15"/>
  <c r="D55" i="14"/>
  <c r="H54" i="14"/>
  <c r="G54" i="14"/>
  <c r="F54" i="14"/>
  <c r="E54" i="14"/>
  <c r="D54" i="14"/>
  <c r="H53" i="14"/>
  <c r="G53" i="14"/>
  <c r="F53" i="14"/>
  <c r="E53" i="14"/>
  <c r="D53" i="14"/>
  <c r="F48" i="15"/>
  <c r="G48" i="15" s="1"/>
  <c r="H48" i="15" s="1"/>
  <c r="I48" i="15" s="1"/>
  <c r="J48" i="15" s="1"/>
  <c r="K48" i="15" s="1"/>
  <c r="L48" i="15" s="1"/>
  <c r="M48" i="15" s="1"/>
  <c r="N48" i="15" s="1"/>
  <c r="O48" i="15" s="1"/>
  <c r="P48" i="15" s="1"/>
  <c r="Q48" i="15" s="1"/>
  <c r="R48" i="15" s="1"/>
  <c r="S48" i="15" s="1"/>
  <c r="T48" i="15" s="1"/>
  <c r="U48" i="15" s="1"/>
  <c r="V48" i="15" s="1"/>
  <c r="W48" i="15" s="1"/>
  <c r="X48" i="15" s="1"/>
  <c r="Y48" i="15" s="1"/>
  <c r="Z48" i="15" s="1"/>
  <c r="AA48" i="15" s="1"/>
  <c r="AB48" i="15" s="1"/>
  <c r="AC48" i="15" s="1"/>
  <c r="AD48" i="15" s="1"/>
  <c r="H52" i="14"/>
  <c r="G52" i="14"/>
  <c r="F52" i="14"/>
  <c r="E52" i="14"/>
  <c r="D52" i="14"/>
  <c r="H51" i="14"/>
  <c r="G51" i="14"/>
  <c r="F51" i="14"/>
  <c r="E51" i="14"/>
  <c r="D51" i="14"/>
  <c r="F46" i="15"/>
  <c r="G46" i="15" s="1"/>
  <c r="H46" i="15" s="1"/>
  <c r="I46" i="15" s="1"/>
  <c r="J46" i="15" s="1"/>
  <c r="K46" i="15" s="1"/>
  <c r="L46" i="15" s="1"/>
  <c r="M46" i="15" s="1"/>
  <c r="N46" i="15" s="1"/>
  <c r="O46" i="15" s="1"/>
  <c r="P46" i="15" s="1"/>
  <c r="Q46" i="15" s="1"/>
  <c r="R46" i="15" s="1"/>
  <c r="S46" i="15" s="1"/>
  <c r="T46" i="15" s="1"/>
  <c r="U46" i="15" s="1"/>
  <c r="V46" i="15" s="1"/>
  <c r="W46" i="15" s="1"/>
  <c r="X46" i="15" s="1"/>
  <c r="Y46" i="15" s="1"/>
  <c r="Z46" i="15" s="1"/>
  <c r="AA46" i="15" s="1"/>
  <c r="AB46" i="15" s="1"/>
  <c r="AC46" i="15" s="1"/>
  <c r="AD46" i="15" s="1"/>
  <c r="H50" i="14"/>
  <c r="G50" i="14"/>
  <c r="F50" i="14"/>
  <c r="E50" i="14"/>
  <c r="D50" i="14"/>
  <c r="C50" i="14"/>
  <c r="H49" i="14"/>
  <c r="G49" i="14"/>
  <c r="F49" i="14"/>
  <c r="E49" i="14"/>
  <c r="D49" i="14"/>
  <c r="C49" i="14"/>
  <c r="B49" i="14"/>
  <c r="A49" i="14"/>
  <c r="H48" i="14"/>
  <c r="G48" i="14"/>
  <c r="F48" i="14"/>
  <c r="A48" i="14"/>
  <c r="H47" i="14"/>
  <c r="G47" i="14"/>
  <c r="F47" i="14"/>
  <c r="A47" i="14"/>
  <c r="H46" i="14"/>
  <c r="G46" i="14"/>
  <c r="F46" i="14"/>
  <c r="A46" i="14"/>
  <c r="H45" i="14"/>
  <c r="G45" i="14"/>
  <c r="F45" i="14"/>
  <c r="H44" i="14"/>
  <c r="G44" i="14"/>
  <c r="F44" i="14"/>
  <c r="E44" i="14"/>
  <c r="D44" i="14"/>
  <c r="C44" i="14"/>
  <c r="B44" i="14"/>
  <c r="A44" i="14"/>
  <c r="H43" i="14"/>
  <c r="B43" i="14"/>
  <c r="H42" i="14"/>
  <c r="F19" i="15"/>
  <c r="G19" i="15" s="1"/>
  <c r="H19" i="15" s="1"/>
  <c r="I19" i="15" s="1"/>
  <c r="J19" i="15" s="1"/>
  <c r="K19" i="15" s="1"/>
  <c r="L19" i="15" s="1"/>
  <c r="M19" i="15" s="1"/>
  <c r="N19" i="15" s="1"/>
  <c r="O19" i="15" s="1"/>
  <c r="P19" i="15" s="1"/>
  <c r="Q19" i="15" s="1"/>
  <c r="R19" i="15" s="1"/>
  <c r="S19" i="15" s="1"/>
  <c r="T19" i="15" s="1"/>
  <c r="U19" i="15" s="1"/>
  <c r="V19" i="15" s="1"/>
  <c r="W19" i="15" s="1"/>
  <c r="X19" i="15" s="1"/>
  <c r="Y19" i="15" s="1"/>
  <c r="Z19" i="15" s="1"/>
  <c r="AA19" i="15" s="1"/>
  <c r="AB19" i="15" s="1"/>
  <c r="AC19" i="15" s="1"/>
  <c r="AD19" i="15" s="1"/>
  <c r="B42" i="14"/>
  <c r="H41" i="14"/>
  <c r="B41" i="14"/>
  <c r="H40" i="14"/>
  <c r="H39" i="14"/>
  <c r="H38" i="14"/>
  <c r="G38" i="14"/>
  <c r="F38" i="14"/>
  <c r="E38" i="14"/>
  <c r="D38" i="14"/>
  <c r="C38" i="14"/>
  <c r="B38" i="14"/>
  <c r="A38" i="14"/>
  <c r="F34" i="14"/>
  <c r="F33" i="14"/>
  <c r="H32" i="14"/>
  <c r="G32" i="14"/>
  <c r="F32" i="14"/>
  <c r="E32" i="14"/>
  <c r="D32" i="14"/>
  <c r="C32" i="14"/>
  <c r="B32" i="14"/>
  <c r="A32" i="14"/>
  <c r="H31" i="14"/>
  <c r="G31" i="14"/>
  <c r="F31" i="14"/>
  <c r="B31" i="14"/>
  <c r="H30" i="14"/>
  <c r="G30" i="14"/>
  <c r="F30" i="14"/>
  <c r="B30" i="14"/>
  <c r="H29" i="14"/>
  <c r="G29" i="14"/>
  <c r="F29" i="14"/>
  <c r="H28" i="14"/>
  <c r="G28" i="14"/>
  <c r="F28" i="14"/>
  <c r="H27" i="14"/>
  <c r="G27" i="14"/>
  <c r="F27" i="14"/>
  <c r="D26" i="14"/>
  <c r="C26" i="14"/>
  <c r="B26" i="14"/>
  <c r="A26" i="14"/>
  <c r="H24" i="14"/>
  <c r="G24" i="14"/>
  <c r="F24" i="14"/>
  <c r="E24" i="14"/>
  <c r="H23" i="14"/>
  <c r="G23" i="14"/>
  <c r="F23" i="14"/>
  <c r="E23" i="14"/>
  <c r="H22" i="14"/>
  <c r="G22" i="14"/>
  <c r="F22" i="14"/>
  <c r="E22" i="14"/>
  <c r="H21" i="14"/>
  <c r="G21" i="14"/>
  <c r="F21" i="14"/>
  <c r="E21" i="14"/>
  <c r="H20" i="14"/>
  <c r="G20" i="14"/>
  <c r="F20" i="14"/>
  <c r="E20" i="14"/>
  <c r="H19" i="14"/>
  <c r="G19" i="14"/>
  <c r="F19" i="14"/>
  <c r="E19" i="14"/>
  <c r="D19" i="14"/>
  <c r="C19" i="14"/>
  <c r="H18" i="14"/>
  <c r="G18" i="14"/>
  <c r="F18" i="14"/>
  <c r="E18" i="14"/>
  <c r="D18" i="14"/>
  <c r="C18" i="14"/>
  <c r="A18" i="14"/>
  <c r="H17" i="14"/>
  <c r="G17" i="14"/>
  <c r="F17" i="14"/>
  <c r="E17" i="14"/>
  <c r="D17" i="14"/>
  <c r="H16" i="14"/>
  <c r="G16" i="14"/>
  <c r="F16" i="14"/>
  <c r="E16" i="14"/>
  <c r="D16" i="14"/>
  <c r="C16" i="14"/>
  <c r="H15" i="14"/>
  <c r="G15" i="14"/>
  <c r="F15" i="14"/>
  <c r="E15" i="14"/>
  <c r="H11" i="14"/>
  <c r="G11" i="14"/>
  <c r="F11" i="14"/>
  <c r="E11" i="14"/>
  <c r="H10" i="14"/>
  <c r="G10" i="14"/>
  <c r="F10" i="14"/>
  <c r="E10" i="14"/>
  <c r="D10" i="14"/>
  <c r="C10" i="14"/>
  <c r="B10" i="14"/>
  <c r="A10" i="14"/>
  <c r="H9" i="14"/>
  <c r="G9" i="14"/>
  <c r="F9" i="14"/>
  <c r="E9" i="14"/>
  <c r="H8" i="14"/>
  <c r="G8" i="14"/>
  <c r="F8" i="14"/>
  <c r="E8" i="14"/>
  <c r="H7" i="14"/>
  <c r="G7" i="14"/>
  <c r="F7" i="14"/>
  <c r="E7" i="14"/>
  <c r="H6" i="14"/>
  <c r="G6" i="14"/>
  <c r="F6" i="14"/>
  <c r="E6" i="14"/>
  <c r="H5" i="14"/>
  <c r="G5" i="14"/>
  <c r="F5" i="14"/>
  <c r="E5" i="14"/>
  <c r="D5" i="14"/>
  <c r="B5" i="14"/>
  <c r="A5" i="14"/>
  <c r="H4" i="14"/>
  <c r="G4" i="14"/>
  <c r="F4" i="14"/>
  <c r="E4" i="14"/>
  <c r="D4" i="14"/>
  <c r="H3" i="14"/>
  <c r="G3" i="14"/>
  <c r="F3" i="14"/>
  <c r="E3" i="14"/>
  <c r="D3" i="14"/>
  <c r="F8" i="15"/>
  <c r="B3" i="14"/>
  <c r="F76" i="15" l="1"/>
  <c r="V56" i="15"/>
  <c r="P51" i="15"/>
  <c r="V51" i="15"/>
  <c r="E33" i="21"/>
  <c r="C17" i="18" s="1"/>
  <c r="B17" i="18" s="1"/>
  <c r="AD51" i="15"/>
  <c r="H51" i="15"/>
  <c r="N51" i="15"/>
  <c r="N56" i="15"/>
  <c r="P56" i="15"/>
  <c r="AD56" i="15"/>
  <c r="X56" i="15"/>
  <c r="E67" i="20"/>
  <c r="G27" i="21"/>
  <c r="M63" i="15"/>
  <c r="M62" i="15" s="1"/>
  <c r="M88" i="1" s="1"/>
  <c r="U63" i="15"/>
  <c r="U62" i="15" s="1"/>
  <c r="K67" i="15"/>
  <c r="K89" i="1" s="1"/>
  <c r="I56" i="15"/>
  <c r="Q56" i="15"/>
  <c r="Y56" i="15"/>
  <c r="I51" i="15"/>
  <c r="Q51" i="15"/>
  <c r="Y51" i="15"/>
  <c r="I52" i="15"/>
  <c r="Q52" i="15"/>
  <c r="Y52" i="15"/>
  <c r="F73" i="15"/>
  <c r="F106" i="1" s="1"/>
  <c r="F77" i="15"/>
  <c r="N63" i="15"/>
  <c r="V63" i="15"/>
  <c r="AD63" i="15"/>
  <c r="AD62" i="15" s="1"/>
  <c r="N64" i="15"/>
  <c r="V64" i="15"/>
  <c r="AD64" i="15"/>
  <c r="L67" i="15"/>
  <c r="L89" i="1" s="1"/>
  <c r="L73" i="15"/>
  <c r="L106" i="1" s="1"/>
  <c r="T73" i="15"/>
  <c r="AB73" i="15"/>
  <c r="I77" i="15"/>
  <c r="Q77" i="15"/>
  <c r="Y77" i="15"/>
  <c r="J56" i="15"/>
  <c r="R56" i="15"/>
  <c r="Z56" i="15"/>
  <c r="J51" i="15"/>
  <c r="R51" i="15"/>
  <c r="Z51" i="15"/>
  <c r="J52" i="15"/>
  <c r="R52" i="15"/>
  <c r="Z52" i="15"/>
  <c r="G63" i="15"/>
  <c r="O63" i="15"/>
  <c r="O62" i="15" s="1"/>
  <c r="O88" i="1" s="1"/>
  <c r="W63" i="15"/>
  <c r="G64" i="15"/>
  <c r="O64" i="15"/>
  <c r="W64" i="15"/>
  <c r="M67" i="15"/>
  <c r="M89" i="1" s="1"/>
  <c r="M73" i="15"/>
  <c r="M106" i="1" s="1"/>
  <c r="U73" i="15"/>
  <c r="AC73" i="15"/>
  <c r="J77" i="15"/>
  <c r="R77" i="15"/>
  <c r="Z77" i="15"/>
  <c r="K56" i="15"/>
  <c r="S56" i="15"/>
  <c r="AA56" i="15"/>
  <c r="K51" i="15"/>
  <c r="S51" i="15"/>
  <c r="AA51" i="15"/>
  <c r="H63" i="15"/>
  <c r="H62" i="15" s="1"/>
  <c r="H88" i="1" s="1"/>
  <c r="P63" i="15"/>
  <c r="P62" i="15" s="1"/>
  <c r="P88" i="1" s="1"/>
  <c r="X63" i="15"/>
  <c r="X62" i="15" s="1"/>
  <c r="N67" i="15"/>
  <c r="N89" i="1" s="1"/>
  <c r="N73" i="15"/>
  <c r="N106" i="1" s="1"/>
  <c r="V73" i="15"/>
  <c r="AD73" i="15"/>
  <c r="K77" i="15"/>
  <c r="S77" i="15"/>
  <c r="AA77" i="15"/>
  <c r="G34" i="21"/>
  <c r="G33" i="21" s="1"/>
  <c r="G39" i="21"/>
  <c r="G38" i="21" s="1"/>
  <c r="F60" i="21"/>
  <c r="F58" i="21" s="1"/>
  <c r="H23" i="22" s="1"/>
  <c r="G23" i="22" s="1"/>
  <c r="L56" i="15"/>
  <c r="T56" i="15"/>
  <c r="AB56" i="15"/>
  <c r="L51" i="15"/>
  <c r="T51" i="15"/>
  <c r="AB51" i="15"/>
  <c r="L52" i="15"/>
  <c r="T52" i="15"/>
  <c r="AB52" i="15"/>
  <c r="I63" i="15"/>
  <c r="I62" i="15" s="1"/>
  <c r="I88" i="1" s="1"/>
  <c r="Q63" i="15"/>
  <c r="Y63" i="15"/>
  <c r="I64" i="15"/>
  <c r="Q64" i="15"/>
  <c r="Y64" i="15"/>
  <c r="G73" i="15"/>
  <c r="G106" i="1" s="1"/>
  <c r="O73" i="15"/>
  <c r="O106" i="1" s="1"/>
  <c r="W73" i="15"/>
  <c r="I76" i="15"/>
  <c r="L77" i="15"/>
  <c r="T77" i="15"/>
  <c r="AB77" i="15"/>
  <c r="AC63" i="15"/>
  <c r="AC62" i="15" s="1"/>
  <c r="F46" i="21"/>
  <c r="K46" i="21" s="1"/>
  <c r="C18" i="18"/>
  <c r="B18" i="18" s="1"/>
  <c r="F51" i="15"/>
  <c r="F50" i="15" s="1"/>
  <c r="F87" i="1" s="1"/>
  <c r="M56" i="15"/>
  <c r="U56" i="15"/>
  <c r="AC56" i="15"/>
  <c r="M51" i="15"/>
  <c r="U51" i="15"/>
  <c r="AC51" i="15"/>
  <c r="M52" i="15"/>
  <c r="U52" i="15"/>
  <c r="J63" i="15"/>
  <c r="R63" i="15"/>
  <c r="Z63" i="15"/>
  <c r="Z62" i="15" s="1"/>
  <c r="J64" i="15"/>
  <c r="R64" i="15"/>
  <c r="H73" i="15"/>
  <c r="H106" i="1" s="1"/>
  <c r="P73" i="15"/>
  <c r="P106" i="1" s="1"/>
  <c r="X73" i="15"/>
  <c r="K76" i="15"/>
  <c r="M77" i="15"/>
  <c r="U77" i="15"/>
  <c r="AC77" i="15"/>
  <c r="I67" i="15"/>
  <c r="I89" i="1" s="1"/>
  <c r="I73" i="15"/>
  <c r="I106" i="1" s="1"/>
  <c r="Q73" i="15"/>
  <c r="Q106" i="1" s="1"/>
  <c r="Y73" i="15"/>
  <c r="S76" i="15"/>
  <c r="N77" i="15"/>
  <c r="V77" i="15"/>
  <c r="AD77" i="15"/>
  <c r="K63" i="15"/>
  <c r="K62" i="15" s="1"/>
  <c r="K88" i="1" s="1"/>
  <c r="S63" i="15"/>
  <c r="S62" i="15" s="1"/>
  <c r="AA63" i="15"/>
  <c r="AA62" i="15" s="1"/>
  <c r="G56" i="15"/>
  <c r="G55" i="15" s="1"/>
  <c r="G94" i="1" s="1"/>
  <c r="O56" i="15"/>
  <c r="W56" i="15"/>
  <c r="G51" i="15"/>
  <c r="O51" i="15"/>
  <c r="F63" i="15"/>
  <c r="L63" i="15"/>
  <c r="L62" i="15" s="1"/>
  <c r="L88" i="1" s="1"/>
  <c r="T63" i="15"/>
  <c r="T62" i="15" s="1"/>
  <c r="J73" i="15"/>
  <c r="J106" i="1" s="1"/>
  <c r="R73" i="15"/>
  <c r="R106" i="1" s="1"/>
  <c r="G77" i="15"/>
  <c r="O77" i="15"/>
  <c r="Y18" i="15"/>
  <c r="Z6" i="16" s="1"/>
  <c r="Z5" i="16" s="1"/>
  <c r="E46" i="14"/>
  <c r="E48" i="14" s="1"/>
  <c r="F64" i="20"/>
  <c r="G64" i="20" s="1"/>
  <c r="C31" i="18"/>
  <c r="B31" i="18" s="1"/>
  <c r="E64" i="20"/>
  <c r="AD18" i="15"/>
  <c r="AE6" i="16" s="1"/>
  <c r="F65" i="20"/>
  <c r="G65" i="20" s="1"/>
  <c r="D58" i="20"/>
  <c r="C43" i="14"/>
  <c r="I18" i="15"/>
  <c r="J6" i="16" s="1"/>
  <c r="J53" i="16" s="1"/>
  <c r="J52" i="16" s="1"/>
  <c r="Q18" i="15"/>
  <c r="R6" i="16" s="1"/>
  <c r="R5" i="16" s="1"/>
  <c r="O76" i="15"/>
  <c r="Q76" i="15"/>
  <c r="W76" i="15"/>
  <c r="Y76" i="15"/>
  <c r="G76" i="15"/>
  <c r="AA76" i="15"/>
  <c r="H76" i="15"/>
  <c r="P76" i="15"/>
  <c r="X76" i="15"/>
  <c r="J76" i="15"/>
  <c r="R76" i="15"/>
  <c r="Z76" i="15"/>
  <c r="L76" i="15"/>
  <c r="T76" i="15"/>
  <c r="AB76" i="15"/>
  <c r="M76" i="15"/>
  <c r="U76" i="15"/>
  <c r="AC76" i="15"/>
  <c r="N76" i="15"/>
  <c r="V76" i="15"/>
  <c r="I78" i="15"/>
  <c r="F78" i="15"/>
  <c r="H78" i="15"/>
  <c r="H75" i="15" s="1"/>
  <c r="H108" i="1" s="1"/>
  <c r="P78" i="15"/>
  <c r="P75" i="15" s="1"/>
  <c r="P108" i="1" s="1"/>
  <c r="X78" i="15"/>
  <c r="X75" i="15" s="1"/>
  <c r="J78" i="15"/>
  <c r="J75" i="15" s="1"/>
  <c r="J108" i="1" s="1"/>
  <c r="K78" i="15"/>
  <c r="S78" i="15"/>
  <c r="AA78" i="15"/>
  <c r="Y78" i="15"/>
  <c r="Z78" i="15"/>
  <c r="L78" i="15"/>
  <c r="T78" i="15"/>
  <c r="AB78" i="15"/>
  <c r="AB75" i="15" s="1"/>
  <c r="R78" i="15"/>
  <c r="R75" i="15" s="1"/>
  <c r="R108" i="1" s="1"/>
  <c r="M78" i="15"/>
  <c r="U78" i="15"/>
  <c r="U75" i="15" s="1"/>
  <c r="AC78" i="15"/>
  <c r="N78" i="15"/>
  <c r="V78" i="15"/>
  <c r="Q78" i="15"/>
  <c r="AD78" i="15"/>
  <c r="AD75" i="15" s="1"/>
  <c r="E58" i="21"/>
  <c r="C23" i="18" s="1"/>
  <c r="B23" i="18" s="1"/>
  <c r="G78" i="15"/>
  <c r="O78" i="15"/>
  <c r="O75" i="15" s="1"/>
  <c r="O108" i="1" s="1"/>
  <c r="W78" i="15"/>
  <c r="D8" i="22"/>
  <c r="E8" i="22" s="1"/>
  <c r="G8" i="22" s="1"/>
  <c r="N18" i="15"/>
  <c r="O6" i="16" s="1"/>
  <c r="E63" i="20"/>
  <c r="C31" i="14"/>
  <c r="E31" i="14" s="1"/>
  <c r="D31" i="14" s="1"/>
  <c r="T18" i="15"/>
  <c r="U6" i="16" s="1"/>
  <c r="U5" i="16" s="1"/>
  <c r="D62" i="20"/>
  <c r="F67" i="20"/>
  <c r="G67" i="20" s="1"/>
  <c r="V18" i="15"/>
  <c r="W6" i="16" s="1"/>
  <c r="W5" i="16" s="1"/>
  <c r="C15" i="21"/>
  <c r="C14" i="21" s="1"/>
  <c r="E31" i="21"/>
  <c r="G31" i="21" s="1"/>
  <c r="F18" i="15"/>
  <c r="G6" i="16" s="1"/>
  <c r="G8" i="16" s="1"/>
  <c r="AB18" i="15"/>
  <c r="AC6" i="16" s="1"/>
  <c r="AC5" i="16" s="1"/>
  <c r="L18" i="15"/>
  <c r="M6" i="16" s="1"/>
  <c r="M5" i="16" s="1"/>
  <c r="E37" i="16"/>
  <c r="E67" i="21"/>
  <c r="E71" i="21" s="1"/>
  <c r="E30" i="2"/>
  <c r="C30" i="18"/>
  <c r="B30" i="18" s="1"/>
  <c r="J5" i="16"/>
  <c r="C7" i="21"/>
  <c r="E7" i="21" s="1"/>
  <c r="F7" i="21" s="1"/>
  <c r="H18" i="15"/>
  <c r="I6" i="16" s="1"/>
  <c r="AH6" i="16" s="1"/>
  <c r="P18" i="15"/>
  <c r="Q6" i="16" s="1"/>
  <c r="Q5" i="16" s="1"/>
  <c r="X18" i="15"/>
  <c r="Y6" i="16" s="1"/>
  <c r="Y5" i="16" s="1"/>
  <c r="F27" i="15"/>
  <c r="C8" i="21"/>
  <c r="E8" i="21" s="1"/>
  <c r="G8" i="21" s="1"/>
  <c r="J18" i="15"/>
  <c r="K6" i="16" s="1"/>
  <c r="K5" i="16" s="1"/>
  <c r="AI5" i="16" s="1"/>
  <c r="R18" i="15"/>
  <c r="S6" i="16" s="1"/>
  <c r="Z18" i="15"/>
  <c r="AA6" i="16" s="1"/>
  <c r="AA8" i="16" s="1"/>
  <c r="F28" i="15"/>
  <c r="E30" i="21"/>
  <c r="G30" i="21" s="1"/>
  <c r="K18" i="15"/>
  <c r="L6" i="16" s="1"/>
  <c r="M23" i="16" s="1"/>
  <c r="M24" i="16" s="1"/>
  <c r="S18" i="15"/>
  <c r="T6" i="16" s="1"/>
  <c r="T5" i="16" s="1"/>
  <c r="AA18" i="15"/>
  <c r="AB6" i="16" s="1"/>
  <c r="AB5" i="16" s="1"/>
  <c r="C58" i="20"/>
  <c r="F58" i="20" s="1"/>
  <c r="G58" i="20" s="1"/>
  <c r="C24" i="14"/>
  <c r="F131" i="15" s="1"/>
  <c r="F29" i="16"/>
  <c r="G20" i="15"/>
  <c r="F30" i="16"/>
  <c r="G26" i="16"/>
  <c r="G27" i="16" s="1"/>
  <c r="M18" i="15"/>
  <c r="N6" i="16" s="1"/>
  <c r="N5" i="16" s="1"/>
  <c r="U18" i="15"/>
  <c r="V6" i="16" s="1"/>
  <c r="V5" i="16" s="1"/>
  <c r="AC18" i="15"/>
  <c r="AD6" i="16" s="1"/>
  <c r="AD5" i="16" s="1"/>
  <c r="F52" i="20"/>
  <c r="G52" i="20" s="1"/>
  <c r="E65" i="20"/>
  <c r="D46" i="14"/>
  <c r="D48" i="14" s="1"/>
  <c r="G18" i="15"/>
  <c r="H6" i="16" s="1"/>
  <c r="O18" i="15"/>
  <c r="P6" i="16" s="1"/>
  <c r="W18" i="15"/>
  <c r="X6" i="16" s="1"/>
  <c r="X5" i="16" s="1"/>
  <c r="F36" i="16"/>
  <c r="F37" i="16" s="1"/>
  <c r="F43" i="16" s="1"/>
  <c r="E17" i="17"/>
  <c r="G68" i="21"/>
  <c r="F62" i="15"/>
  <c r="F88" i="1" s="1"/>
  <c r="G60" i="21"/>
  <c r="J54" i="21"/>
  <c r="G53" i="21"/>
  <c r="G47" i="21"/>
  <c r="K45" i="21"/>
  <c r="G56" i="21"/>
  <c r="G46" i="21"/>
  <c r="E45" i="21"/>
  <c r="C19" i="18" s="1"/>
  <c r="B19" i="18" s="1"/>
  <c r="G26" i="21"/>
  <c r="E25" i="21"/>
  <c r="C15" i="18" s="1"/>
  <c r="B15" i="18" s="1"/>
  <c r="E50" i="21"/>
  <c r="C20" i="18" s="1"/>
  <c r="B20" i="18" s="1"/>
  <c r="G52" i="21"/>
  <c r="K60" i="21"/>
  <c r="K58" i="21" s="1"/>
  <c r="G69" i="21"/>
  <c r="D32" i="21"/>
  <c r="F45" i="21"/>
  <c r="H20" i="22" s="1"/>
  <c r="G20" i="22" s="1"/>
  <c r="F50" i="21"/>
  <c r="H21" i="22" s="1"/>
  <c r="G21" i="22" s="1"/>
  <c r="G51" i="21"/>
  <c r="G59" i="21"/>
  <c r="D25" i="21"/>
  <c r="E29" i="21"/>
  <c r="C16" i="18" s="1"/>
  <c r="B16" i="18" s="1"/>
  <c r="G10" i="22"/>
  <c r="H10" i="22"/>
  <c r="E7" i="22"/>
  <c r="F7" i="22" s="1"/>
  <c r="H7" i="22" s="1"/>
  <c r="G41" i="14"/>
  <c r="D68" i="20"/>
  <c r="C62" i="20"/>
  <c r="F9" i="22"/>
  <c r="H9" i="22" s="1"/>
  <c r="G22" i="22"/>
  <c r="F9" i="15"/>
  <c r="F7" i="1" s="1"/>
  <c r="F135" i="15"/>
  <c r="AJ7" i="16"/>
  <c r="F67" i="15"/>
  <c r="F89" i="1" s="1"/>
  <c r="E9" i="16"/>
  <c r="E14" i="16"/>
  <c r="H31" i="16"/>
  <c r="AH22" i="16"/>
  <c r="E49" i="16"/>
  <c r="I54" i="16"/>
  <c r="AH54" i="16" s="1"/>
  <c r="I25" i="16"/>
  <c r="AH7" i="16"/>
  <c r="K23" i="16"/>
  <c r="E41" i="16"/>
  <c r="B34" i="16"/>
  <c r="E44" i="16"/>
  <c r="E40" i="16"/>
  <c r="E48" i="16"/>
  <c r="AI7" i="16"/>
  <c r="E31" i="16"/>
  <c r="F9" i="16"/>
  <c r="E11" i="16"/>
  <c r="F31" i="16"/>
  <c r="F11" i="16"/>
  <c r="F49" i="16"/>
  <c r="F48" i="16"/>
  <c r="G31" i="16"/>
  <c r="J25" i="16"/>
  <c r="J80" i="16"/>
  <c r="L80" i="16"/>
  <c r="F40" i="16"/>
  <c r="F39" i="16" s="1"/>
  <c r="I78" i="16"/>
  <c r="J78" i="16" s="1"/>
  <c r="K78" i="16" s="1"/>
  <c r="K80" i="16" s="1"/>
  <c r="L78" i="16"/>
  <c r="M78" i="16"/>
  <c r="M80" i="16" s="1"/>
  <c r="G8" i="15"/>
  <c r="F11" i="15"/>
  <c r="F11" i="1" s="1"/>
  <c r="I7" i="15"/>
  <c r="G6" i="15"/>
  <c r="H55" i="15"/>
  <c r="H94" i="1" s="1"/>
  <c r="L5" i="16" l="1"/>
  <c r="E9" i="2"/>
  <c r="E31" i="2" s="1"/>
  <c r="E22" i="17"/>
  <c r="C33" i="18"/>
  <c r="B33" i="18" s="1"/>
  <c r="B29" i="18" s="1"/>
  <c r="J56" i="21"/>
  <c r="K56" i="21" s="1"/>
  <c r="AA75" i="15"/>
  <c r="I75" i="15"/>
  <c r="I108" i="1" s="1"/>
  <c r="S75" i="15"/>
  <c r="K75" i="15"/>
  <c r="K108" i="1" s="1"/>
  <c r="G29" i="21"/>
  <c r="C17" i="21"/>
  <c r="E17" i="21" s="1"/>
  <c r="D12" i="22"/>
  <c r="J53" i="21"/>
  <c r="K53" i="21" s="1"/>
  <c r="J52" i="21"/>
  <c r="K52" i="21" s="1"/>
  <c r="E15" i="21"/>
  <c r="F15" i="21" s="1"/>
  <c r="R62" i="15"/>
  <c r="R88" i="1" s="1"/>
  <c r="Y62" i="15"/>
  <c r="V62" i="15"/>
  <c r="Y75" i="15"/>
  <c r="F75" i="15"/>
  <c r="F108" i="1" s="1"/>
  <c r="J62" i="15"/>
  <c r="J88" i="1" s="1"/>
  <c r="Q62" i="15"/>
  <c r="Q88" i="1" s="1"/>
  <c r="W62" i="15"/>
  <c r="N62" i="15"/>
  <c r="N88" i="1" s="1"/>
  <c r="G62" i="15"/>
  <c r="G88" i="1" s="1"/>
  <c r="AA5" i="16"/>
  <c r="D67" i="21"/>
  <c r="D71" i="21" s="1"/>
  <c r="W8" i="16"/>
  <c r="G67" i="21"/>
  <c r="G71" i="21" s="1"/>
  <c r="AE8" i="16"/>
  <c r="AE61" i="16" s="1"/>
  <c r="AE5" i="16"/>
  <c r="D31" i="21"/>
  <c r="Q75" i="15"/>
  <c r="Q108" i="1" s="1"/>
  <c r="W75" i="15"/>
  <c r="AC75" i="15"/>
  <c r="G75" i="15"/>
  <c r="G108" i="1" s="1"/>
  <c r="M75" i="15"/>
  <c r="M108" i="1" s="1"/>
  <c r="T75" i="15"/>
  <c r="V75" i="15"/>
  <c r="L75" i="15"/>
  <c r="L108" i="1" s="1"/>
  <c r="N75" i="15"/>
  <c r="N108" i="1" s="1"/>
  <c r="Z75" i="15"/>
  <c r="E6" i="21"/>
  <c r="S8" i="16"/>
  <c r="AF6" i="16"/>
  <c r="AK6" i="16"/>
  <c r="F31" i="15"/>
  <c r="C11" i="21"/>
  <c r="E11" i="21" s="1"/>
  <c r="G11" i="21" s="1"/>
  <c r="C10" i="21"/>
  <c r="E10" i="21" s="1"/>
  <c r="F10" i="21" s="1"/>
  <c r="K10" i="21" s="1"/>
  <c r="G5" i="16"/>
  <c r="G53" i="16"/>
  <c r="G52" i="16" s="1"/>
  <c r="J51" i="21"/>
  <c r="K51" i="21" s="1"/>
  <c r="N23" i="16"/>
  <c r="N53" i="16" s="1"/>
  <c r="N52" i="16" s="1"/>
  <c r="F30" i="15"/>
  <c r="O8" i="16"/>
  <c r="O5" i="16"/>
  <c r="M53" i="16"/>
  <c r="M52" i="16" s="1"/>
  <c r="E62" i="20"/>
  <c r="E39" i="16"/>
  <c r="I5" i="16"/>
  <c r="AH5" i="16" s="1"/>
  <c r="I53" i="16"/>
  <c r="AJ6" i="16"/>
  <c r="P5" i="16"/>
  <c r="AJ5" i="16" s="1"/>
  <c r="K8" i="16"/>
  <c r="AI8" i="16" s="1"/>
  <c r="L23" i="16"/>
  <c r="L24" i="16" s="1"/>
  <c r="L54" i="16" s="1"/>
  <c r="C6" i="21"/>
  <c r="H53" i="16"/>
  <c r="H52" i="16" s="1"/>
  <c r="H5" i="16"/>
  <c r="F13" i="15"/>
  <c r="C18" i="21"/>
  <c r="E18" i="21" s="1"/>
  <c r="E58" i="20"/>
  <c r="L22" i="16"/>
  <c r="K31" i="16" s="1"/>
  <c r="H26" i="16"/>
  <c r="H27" i="16" s="1"/>
  <c r="H20" i="15"/>
  <c r="G29" i="16"/>
  <c r="G30" i="16"/>
  <c r="AI6" i="16"/>
  <c r="S5" i="16"/>
  <c r="AD21" i="15"/>
  <c r="V21" i="15"/>
  <c r="N21" i="15"/>
  <c r="F21" i="15"/>
  <c r="F134" i="15" s="1"/>
  <c r="AC21" i="15"/>
  <c r="U21" i="15"/>
  <c r="M21" i="15"/>
  <c r="C46" i="14"/>
  <c r="AB21" i="15"/>
  <c r="T21" i="15"/>
  <c r="L21" i="15"/>
  <c r="AA21" i="15"/>
  <c r="S21" i="15"/>
  <c r="K21" i="15"/>
  <c r="Z21" i="15"/>
  <c r="R21" i="15"/>
  <c r="J21" i="15"/>
  <c r="H21" i="15"/>
  <c r="Y21" i="15"/>
  <c r="Q21" i="15"/>
  <c r="I21" i="15"/>
  <c r="X21" i="15"/>
  <c r="P21" i="15"/>
  <c r="W21" i="15"/>
  <c r="O21" i="15"/>
  <c r="G21" i="15"/>
  <c r="D30" i="21"/>
  <c r="G27" i="15"/>
  <c r="G31" i="15"/>
  <c r="G30" i="15"/>
  <c r="G28" i="15"/>
  <c r="F28" i="16"/>
  <c r="F61" i="16" s="1"/>
  <c r="F10" i="15"/>
  <c r="E10" i="16"/>
  <c r="F14" i="15"/>
  <c r="F12" i="15"/>
  <c r="K54" i="21"/>
  <c r="G45" i="21"/>
  <c r="G50" i="21"/>
  <c r="J7" i="21"/>
  <c r="F6" i="21"/>
  <c r="G25" i="21"/>
  <c r="G7" i="21"/>
  <c r="G58" i="21"/>
  <c r="F8" i="22"/>
  <c r="H8" i="22" s="1"/>
  <c r="E12" i="22"/>
  <c r="G7" i="22"/>
  <c r="G12" i="22" s="1"/>
  <c r="B6" i="18" s="1"/>
  <c r="F62" i="20"/>
  <c r="C68" i="20"/>
  <c r="F68" i="20" s="1"/>
  <c r="G68" i="20" s="1"/>
  <c r="F26" i="15"/>
  <c r="F35" i="15"/>
  <c r="N78" i="16"/>
  <c r="Q23" i="16"/>
  <c r="N24" i="16"/>
  <c r="N22" i="16"/>
  <c r="R23" i="16"/>
  <c r="P23" i="16"/>
  <c r="O23" i="16"/>
  <c r="AH8" i="16"/>
  <c r="I80" i="16"/>
  <c r="F10" i="16"/>
  <c r="F18" i="16" s="1"/>
  <c r="AH25" i="16"/>
  <c r="M54" i="16"/>
  <c r="M25" i="16"/>
  <c r="AH31" i="16"/>
  <c r="K22" i="16"/>
  <c r="K24" i="16"/>
  <c r="AI23" i="16"/>
  <c r="K53" i="16"/>
  <c r="E28" i="16"/>
  <c r="E43" i="16"/>
  <c r="J7" i="15"/>
  <c r="F37" i="15"/>
  <c r="H8" i="15"/>
  <c r="G9" i="15"/>
  <c r="G7" i="1" s="1"/>
  <c r="H6" i="15"/>
  <c r="G50" i="15"/>
  <c r="G87" i="1" s="1"/>
  <c r="I55" i="15"/>
  <c r="I94" i="1" s="1"/>
  <c r="G11" i="15"/>
  <c r="G11" i="1" s="1"/>
  <c r="D59" i="14"/>
  <c r="C29" i="18" l="1"/>
  <c r="F7" i="17"/>
  <c r="F14" i="17"/>
  <c r="F10" i="17"/>
  <c r="F11" i="17"/>
  <c r="F8" i="17"/>
  <c r="F9" i="17"/>
  <c r="F13" i="17"/>
  <c r="F6" i="17"/>
  <c r="K50" i="21"/>
  <c r="F12" i="17"/>
  <c r="F4" i="17"/>
  <c r="F5" i="17"/>
  <c r="F16" i="17"/>
  <c r="F20" i="17"/>
  <c r="F19" i="17"/>
  <c r="F18" i="17"/>
  <c r="F15" i="17"/>
  <c r="F17" i="17"/>
  <c r="E14" i="21"/>
  <c r="L53" i="16"/>
  <c r="L52" i="16" s="1"/>
  <c r="L25" i="16"/>
  <c r="G6" i="21"/>
  <c r="J50" i="21"/>
  <c r="AJ8" i="16"/>
  <c r="G10" i="21"/>
  <c r="AK8" i="16"/>
  <c r="G28" i="16"/>
  <c r="G61" i="16" s="1"/>
  <c r="G62" i="16" s="1"/>
  <c r="AF8" i="16"/>
  <c r="AF5" i="16"/>
  <c r="AK5" i="16"/>
  <c r="C16" i="21"/>
  <c r="C13" i="21" s="1"/>
  <c r="E18" i="16"/>
  <c r="E59" i="14"/>
  <c r="F38" i="15"/>
  <c r="F36" i="15" s="1"/>
  <c r="G13" i="15"/>
  <c r="I20" i="15"/>
  <c r="I26" i="16"/>
  <c r="I27" i="16" s="1"/>
  <c r="AH27" i="16" s="1"/>
  <c r="H29" i="16"/>
  <c r="H30" i="16"/>
  <c r="E16" i="21"/>
  <c r="F17" i="21"/>
  <c r="AH53" i="16"/>
  <c r="AH52" i="16" s="1"/>
  <c r="I52" i="16"/>
  <c r="C48" i="14"/>
  <c r="C22" i="21"/>
  <c r="E22" i="21" s="1"/>
  <c r="F22" i="21" s="1"/>
  <c r="C20" i="21"/>
  <c r="C21" i="21"/>
  <c r="G62" i="20"/>
  <c r="Y32" i="15"/>
  <c r="Q32" i="15"/>
  <c r="I32" i="15"/>
  <c r="X32" i="15"/>
  <c r="P32" i="15"/>
  <c r="H32" i="15"/>
  <c r="W32" i="15"/>
  <c r="O32" i="15"/>
  <c r="G32" i="15"/>
  <c r="G29" i="15" s="1"/>
  <c r="C12" i="21"/>
  <c r="AD32" i="15"/>
  <c r="V32" i="15"/>
  <c r="N32" i="15"/>
  <c r="F32" i="15"/>
  <c r="AC32" i="15"/>
  <c r="U32" i="15"/>
  <c r="M32" i="15"/>
  <c r="AA32" i="15"/>
  <c r="AB32" i="15"/>
  <c r="T32" i="15"/>
  <c r="L32" i="15"/>
  <c r="S32" i="15"/>
  <c r="K32" i="15"/>
  <c r="Z32" i="15"/>
  <c r="R32" i="15"/>
  <c r="J32" i="15"/>
  <c r="E68" i="20"/>
  <c r="F18" i="21"/>
  <c r="K18" i="21" s="1"/>
  <c r="M22" i="16"/>
  <c r="L31" i="16" s="1"/>
  <c r="E46" i="16"/>
  <c r="E42" i="16" s="1"/>
  <c r="E19" i="16"/>
  <c r="F15" i="15"/>
  <c r="E57" i="21"/>
  <c r="AB74" i="15" s="1"/>
  <c r="G14" i="15"/>
  <c r="G12" i="15"/>
  <c r="F34" i="15"/>
  <c r="G10" i="15"/>
  <c r="H31" i="15"/>
  <c r="H30" i="15"/>
  <c r="H28" i="15"/>
  <c r="H27" i="15"/>
  <c r="F22" i="15"/>
  <c r="F47" i="15"/>
  <c r="F45" i="15"/>
  <c r="J15" i="21"/>
  <c r="F14" i="21"/>
  <c r="J14" i="21" s="1"/>
  <c r="J13" i="21" s="1"/>
  <c r="J6" i="21"/>
  <c r="J5" i="21" s="1"/>
  <c r="F12" i="22"/>
  <c r="I10" i="22" s="1"/>
  <c r="G26" i="15"/>
  <c r="H12" i="22"/>
  <c r="C6" i="18" s="1"/>
  <c r="J31" i="16"/>
  <c r="AI22" i="16"/>
  <c r="V23" i="16"/>
  <c r="R24" i="16"/>
  <c r="U23" i="16"/>
  <c r="T23" i="16"/>
  <c r="S23" i="16"/>
  <c r="R22" i="16"/>
  <c r="R53" i="16"/>
  <c r="R52" i="16" s="1"/>
  <c r="O24" i="16"/>
  <c r="O22" i="16"/>
  <c r="O53" i="16"/>
  <c r="O52" i="16" s="1"/>
  <c r="M31" i="16"/>
  <c r="P24" i="16"/>
  <c r="P22" i="16"/>
  <c r="AJ23" i="16"/>
  <c r="P53" i="16"/>
  <c r="N54" i="16"/>
  <c r="N25" i="16"/>
  <c r="K54" i="16"/>
  <c r="AI54" i="16" s="1"/>
  <c r="K25" i="16"/>
  <c r="AI24" i="16"/>
  <c r="Q24" i="16"/>
  <c r="Q22" i="16"/>
  <c r="Q53" i="16"/>
  <c r="Q52" i="16" s="1"/>
  <c r="O78" i="16"/>
  <c r="N80" i="16"/>
  <c r="F46" i="16"/>
  <c r="F42" i="16" s="1"/>
  <c r="F68" i="16" s="1"/>
  <c r="F19" i="16"/>
  <c r="F69" i="16" s="1"/>
  <c r="E61" i="16"/>
  <c r="AI53" i="16"/>
  <c r="AI52" i="16" s="1"/>
  <c r="K52" i="16"/>
  <c r="K7" i="15"/>
  <c r="J55" i="15"/>
  <c r="J94" i="1" s="1"/>
  <c r="H50" i="15"/>
  <c r="H87" i="1" s="1"/>
  <c r="I6" i="15"/>
  <c r="H9" i="15"/>
  <c r="H7" i="1" s="1"/>
  <c r="G37" i="15"/>
  <c r="I8" i="15"/>
  <c r="H11" i="15"/>
  <c r="H11" i="1" s="1"/>
  <c r="G35" i="15"/>
  <c r="G34" i="15" s="1"/>
  <c r="E13" i="21" l="1"/>
  <c r="AD74" i="15"/>
  <c r="AH26" i="16"/>
  <c r="C19" i="21"/>
  <c r="E19" i="21" s="1"/>
  <c r="F19" i="21" s="1"/>
  <c r="H18" i="22" s="1"/>
  <c r="G18" i="22" s="1"/>
  <c r="T74" i="15"/>
  <c r="W74" i="15"/>
  <c r="Q74" i="15"/>
  <c r="Q107" i="1" s="1"/>
  <c r="Y74" i="15"/>
  <c r="U74" i="15"/>
  <c r="G74" i="15"/>
  <c r="G107" i="1" s="1"/>
  <c r="Z74" i="15"/>
  <c r="N74" i="15"/>
  <c r="N107" i="1" s="1"/>
  <c r="L74" i="15"/>
  <c r="L107" i="1" s="1"/>
  <c r="O74" i="15"/>
  <c r="O107" i="1" s="1"/>
  <c r="J74" i="15"/>
  <c r="J107" i="1" s="1"/>
  <c r="K74" i="15"/>
  <c r="K107" i="1" s="1"/>
  <c r="V74" i="15"/>
  <c r="D57" i="21"/>
  <c r="X74" i="15"/>
  <c r="S74" i="15"/>
  <c r="G57" i="21"/>
  <c r="F74" i="15"/>
  <c r="F107" i="1" s="1"/>
  <c r="I74" i="15"/>
  <c r="I107" i="1" s="1"/>
  <c r="AA74" i="15"/>
  <c r="F29" i="15"/>
  <c r="F25" i="15" s="1"/>
  <c r="F82" i="1" s="1"/>
  <c r="F48" i="1"/>
  <c r="AK23" i="16"/>
  <c r="AF23" i="16"/>
  <c r="F86" i="1"/>
  <c r="E69" i="16"/>
  <c r="E72" i="16" s="1"/>
  <c r="F33" i="15"/>
  <c r="F83" i="1" s="1"/>
  <c r="J22" i="21"/>
  <c r="H19" i="22"/>
  <c r="G19" i="22" s="1"/>
  <c r="H28" i="16"/>
  <c r="F42" i="15"/>
  <c r="F85" i="1" s="1"/>
  <c r="G12" i="16"/>
  <c r="G15" i="15"/>
  <c r="J20" i="15"/>
  <c r="J26" i="16"/>
  <c r="J27" i="16" s="1"/>
  <c r="I30" i="16"/>
  <c r="AH30" i="16" s="1"/>
  <c r="I29" i="16"/>
  <c r="E12" i="21"/>
  <c r="C9" i="21"/>
  <c r="C5" i="21" s="1"/>
  <c r="K17" i="21"/>
  <c r="F16" i="21"/>
  <c r="H13" i="15"/>
  <c r="G38" i="15"/>
  <c r="G48" i="1" s="1"/>
  <c r="M74" i="15"/>
  <c r="M107" i="1" s="1"/>
  <c r="P74" i="15"/>
  <c r="P107" i="1" s="1"/>
  <c r="C22" i="18"/>
  <c r="B22" i="18" s="1"/>
  <c r="G18" i="21"/>
  <c r="G16" i="21" s="1"/>
  <c r="G13" i="21" s="1"/>
  <c r="J19" i="21"/>
  <c r="H26" i="15"/>
  <c r="AC74" i="15"/>
  <c r="H74" i="15"/>
  <c r="H107" i="1" s="1"/>
  <c r="R74" i="15"/>
  <c r="R107" i="1" s="1"/>
  <c r="H10" i="15"/>
  <c r="H14" i="15"/>
  <c r="H12" i="15"/>
  <c r="I31" i="15"/>
  <c r="I30" i="15"/>
  <c r="I28" i="15"/>
  <c r="I27" i="15"/>
  <c r="F41" i="15"/>
  <c r="F40" i="15"/>
  <c r="F130" i="15"/>
  <c r="I8" i="22"/>
  <c r="I7" i="22"/>
  <c r="I9" i="22"/>
  <c r="G25" i="15"/>
  <c r="G82" i="1" s="1"/>
  <c r="E68" i="16"/>
  <c r="P78" i="16"/>
  <c r="O80" i="16"/>
  <c r="P52" i="16"/>
  <c r="AJ53" i="16"/>
  <c r="AJ52" i="16" s="1"/>
  <c r="AI31" i="16"/>
  <c r="F83" i="16"/>
  <c r="X23" i="16"/>
  <c r="V24" i="16"/>
  <c r="V22" i="16"/>
  <c r="Z23" i="16"/>
  <c r="W23" i="16"/>
  <c r="Y23" i="16"/>
  <c r="V53" i="16"/>
  <c r="V52" i="16" s="1"/>
  <c r="AI25" i="16"/>
  <c r="N31" i="16"/>
  <c r="Q31" i="16"/>
  <c r="P31" i="16"/>
  <c r="O31" i="16"/>
  <c r="O54" i="16"/>
  <c r="O25" i="16"/>
  <c r="S24" i="16"/>
  <c r="S22" i="16"/>
  <c r="AK22" i="16" s="1"/>
  <c r="S53" i="16"/>
  <c r="E83" i="16"/>
  <c r="F82" i="16"/>
  <c r="Q54" i="16"/>
  <c r="Q25" i="16"/>
  <c r="P54" i="16"/>
  <c r="AJ54" i="16" s="1"/>
  <c r="AJ24" i="16"/>
  <c r="P25" i="16"/>
  <c r="T24" i="16"/>
  <c r="T22" i="16"/>
  <c r="T53" i="16"/>
  <c r="T52" i="16" s="1"/>
  <c r="U24" i="16"/>
  <c r="U22" i="16"/>
  <c r="U53" i="16"/>
  <c r="U52" i="16" s="1"/>
  <c r="R54" i="16"/>
  <c r="R25" i="16"/>
  <c r="AJ22" i="16"/>
  <c r="I50" i="15"/>
  <c r="I87" i="1" s="1"/>
  <c r="K55" i="15"/>
  <c r="K94" i="1" s="1"/>
  <c r="J8" i="15"/>
  <c r="I11" i="15"/>
  <c r="I11" i="1" s="1"/>
  <c r="H29" i="15"/>
  <c r="L7" i="15"/>
  <c r="H35" i="15"/>
  <c r="H34" i="15" s="1"/>
  <c r="J6" i="15"/>
  <c r="I9" i="15"/>
  <c r="I7" i="1" s="1"/>
  <c r="G47" i="15"/>
  <c r="G45" i="15"/>
  <c r="G22" i="15"/>
  <c r="H12" i="16" s="1"/>
  <c r="H37" i="15"/>
  <c r="G86" i="1" l="1"/>
  <c r="J4" i="21"/>
  <c r="J64" i="21" s="1"/>
  <c r="F39" i="15"/>
  <c r="F84" i="1" s="1"/>
  <c r="F47" i="1" s="1"/>
  <c r="AF22" i="16"/>
  <c r="S52" i="16"/>
  <c r="AF53" i="16"/>
  <c r="AK53" i="16"/>
  <c r="AK24" i="16"/>
  <c r="AF24" i="16"/>
  <c r="I12" i="22"/>
  <c r="F12" i="21"/>
  <c r="G12" i="21" s="1"/>
  <c r="G9" i="21" s="1"/>
  <c r="E9" i="21"/>
  <c r="E5" i="21" s="1"/>
  <c r="I28" i="16"/>
  <c r="I61" i="16" s="1"/>
  <c r="AH29" i="16"/>
  <c r="I13" i="15"/>
  <c r="H38" i="15"/>
  <c r="H48" i="1" s="1"/>
  <c r="H61" i="16"/>
  <c r="H9" i="16"/>
  <c r="H32" i="16" s="1"/>
  <c r="H11" i="16"/>
  <c r="H49" i="16"/>
  <c r="H35" i="16"/>
  <c r="H13" i="16"/>
  <c r="F13" i="21"/>
  <c r="K16" i="21"/>
  <c r="K13" i="21" s="1"/>
  <c r="H25" i="15"/>
  <c r="H82" i="1" s="1"/>
  <c r="K20" i="15"/>
  <c r="J30" i="16"/>
  <c r="J29" i="16"/>
  <c r="K26" i="16"/>
  <c r="K27" i="16" s="1"/>
  <c r="AI27" i="16" s="1"/>
  <c r="G36" i="15"/>
  <c r="G33" i="15" s="1"/>
  <c r="G83" i="1" s="1"/>
  <c r="G35" i="16"/>
  <c r="G9" i="16"/>
  <c r="G11" i="16"/>
  <c r="G13" i="16"/>
  <c r="G49" i="16"/>
  <c r="I14" i="15"/>
  <c r="I12" i="15"/>
  <c r="I10" i="15"/>
  <c r="J31" i="15"/>
  <c r="J30" i="15"/>
  <c r="J28" i="15"/>
  <c r="J27" i="15"/>
  <c r="I26" i="15"/>
  <c r="AJ31" i="16"/>
  <c r="S54" i="16"/>
  <c r="S25" i="16"/>
  <c r="W24" i="16"/>
  <c r="W22" i="16"/>
  <c r="W53" i="16"/>
  <c r="W52" i="16" s="1"/>
  <c r="E86" i="16"/>
  <c r="Z24" i="16"/>
  <c r="AD23" i="16"/>
  <c r="Z22" i="16"/>
  <c r="AC23" i="16"/>
  <c r="AB23" i="16"/>
  <c r="AA23" i="16"/>
  <c r="Z53" i="16"/>
  <c r="Z52" i="16" s="1"/>
  <c r="P80" i="16"/>
  <c r="Q78" i="16"/>
  <c r="S31" i="16"/>
  <c r="U31" i="16"/>
  <c r="Y24" i="16"/>
  <c r="Y22" i="16"/>
  <c r="Y53" i="16"/>
  <c r="Y52" i="16" s="1"/>
  <c r="AJ25" i="16"/>
  <c r="T54" i="16"/>
  <c r="T25" i="16"/>
  <c r="V54" i="16"/>
  <c r="V25" i="16"/>
  <c r="E71" i="16"/>
  <c r="E82" i="16"/>
  <c r="X24" i="16"/>
  <c r="X22" i="16"/>
  <c r="X53" i="16"/>
  <c r="X52" i="16" s="1"/>
  <c r="T31" i="16"/>
  <c r="E75" i="16"/>
  <c r="R31" i="16"/>
  <c r="U54" i="16"/>
  <c r="U25" i="16"/>
  <c r="I29" i="15"/>
  <c r="L55" i="15"/>
  <c r="L94" i="1" s="1"/>
  <c r="H47" i="15"/>
  <c r="H45" i="15"/>
  <c r="H22" i="15"/>
  <c r="I12" i="16" s="1"/>
  <c r="J9" i="15"/>
  <c r="J7" i="1" s="1"/>
  <c r="K6" i="15"/>
  <c r="M7" i="15"/>
  <c r="I37" i="15"/>
  <c r="G42" i="15"/>
  <c r="G85" i="1" s="1"/>
  <c r="G41" i="15"/>
  <c r="G40" i="15"/>
  <c r="I35" i="15"/>
  <c r="I34" i="15" s="1"/>
  <c r="H15" i="15"/>
  <c r="K8" i="15"/>
  <c r="J11" i="15"/>
  <c r="J11" i="1" s="1"/>
  <c r="J50" i="15"/>
  <c r="J87" i="1" s="1"/>
  <c r="J73" i="21" l="1"/>
  <c r="H36" i="15"/>
  <c r="H33" i="15" s="1"/>
  <c r="H83" i="1" s="1"/>
  <c r="AI26" i="16"/>
  <c r="AK31" i="16"/>
  <c r="AF31" i="16"/>
  <c r="AF25" i="16"/>
  <c r="AK25" i="16"/>
  <c r="H86" i="1"/>
  <c r="AF54" i="16"/>
  <c r="AK54" i="16"/>
  <c r="AH28" i="16"/>
  <c r="H62" i="16"/>
  <c r="I62" i="16" s="1"/>
  <c r="AH62" i="16" s="1"/>
  <c r="J28" i="16"/>
  <c r="G15" i="16"/>
  <c r="G14" i="16"/>
  <c r="H15" i="16"/>
  <c r="H14" i="16"/>
  <c r="I38" i="15"/>
  <c r="I48" i="1" s="1"/>
  <c r="J13" i="15"/>
  <c r="L20" i="15"/>
  <c r="K30" i="16"/>
  <c r="K29" i="16"/>
  <c r="AI29" i="16" s="1"/>
  <c r="L26" i="16"/>
  <c r="L27" i="16" s="1"/>
  <c r="H48" i="16"/>
  <c r="H36" i="16"/>
  <c r="H37" i="16" s="1"/>
  <c r="H38" i="16"/>
  <c r="H34" i="16"/>
  <c r="H60" i="16" s="1"/>
  <c r="H50" i="16"/>
  <c r="I13" i="16"/>
  <c r="I11" i="16"/>
  <c r="I9" i="16"/>
  <c r="AH12" i="16"/>
  <c r="I35" i="16"/>
  <c r="I49" i="16"/>
  <c r="AH49" i="16" s="1"/>
  <c r="G10" i="16"/>
  <c r="G18" i="16" s="1"/>
  <c r="G32" i="16"/>
  <c r="G58" i="16" s="1"/>
  <c r="G36" i="16"/>
  <c r="G34" i="16"/>
  <c r="G38" i="16"/>
  <c r="G50" i="16"/>
  <c r="H10" i="16"/>
  <c r="H18" i="16" s="1"/>
  <c r="E4" i="21"/>
  <c r="G48" i="16"/>
  <c r="H17" i="22"/>
  <c r="K12" i="21"/>
  <c r="F9" i="21"/>
  <c r="J10" i="15"/>
  <c r="J14" i="15"/>
  <c r="J12" i="15"/>
  <c r="K31" i="15"/>
  <c r="K30" i="15"/>
  <c r="K28" i="15"/>
  <c r="K27" i="15"/>
  <c r="I25" i="15"/>
  <c r="I82" i="1" s="1"/>
  <c r="J26" i="15"/>
  <c r="G39" i="15"/>
  <c r="G84" i="1" s="1"/>
  <c r="G47" i="1" s="1"/>
  <c r="I15" i="15"/>
  <c r="Y54" i="16"/>
  <c r="Y25" i="16"/>
  <c r="AA24" i="16"/>
  <c r="AA22" i="16"/>
  <c r="AA53" i="16"/>
  <c r="AA52" i="16" s="1"/>
  <c r="W31" i="16"/>
  <c r="W54" i="16"/>
  <c r="W25" i="16"/>
  <c r="X54" i="16"/>
  <c r="X25" i="16"/>
  <c r="Y31" i="16"/>
  <c r="E89" i="16"/>
  <c r="AB24" i="16"/>
  <c r="AB22" i="16"/>
  <c r="AB53" i="16"/>
  <c r="AB52" i="16" s="1"/>
  <c r="V31" i="16"/>
  <c r="AC22" i="16"/>
  <c r="AC24" i="16"/>
  <c r="AC53" i="16"/>
  <c r="AC52" i="16" s="1"/>
  <c r="E85" i="16"/>
  <c r="AD22" i="16"/>
  <c r="AD24" i="16"/>
  <c r="AE23" i="16"/>
  <c r="AD53" i="16"/>
  <c r="AD52" i="16" s="1"/>
  <c r="E74" i="16"/>
  <c r="X31" i="16"/>
  <c r="R78" i="16"/>
  <c r="Q80" i="16"/>
  <c r="Z54" i="16"/>
  <c r="Z25" i="16"/>
  <c r="H42" i="15"/>
  <c r="H85" i="1" s="1"/>
  <c r="H40" i="15"/>
  <c r="H41" i="15"/>
  <c r="N7" i="15"/>
  <c r="K9" i="15"/>
  <c r="K7" i="1" s="1"/>
  <c r="L6" i="15"/>
  <c r="J37" i="15"/>
  <c r="J29" i="15"/>
  <c r="I47" i="15"/>
  <c r="I45" i="15"/>
  <c r="I22" i="15"/>
  <c r="J12" i="16" s="1"/>
  <c r="K50" i="15"/>
  <c r="K87" i="1" s="1"/>
  <c r="J35" i="15"/>
  <c r="J34" i="15" s="1"/>
  <c r="M55" i="15"/>
  <c r="M94" i="1" s="1"/>
  <c r="L8" i="15"/>
  <c r="K11" i="15"/>
  <c r="K11" i="1" s="1"/>
  <c r="I86" i="1" l="1"/>
  <c r="AH9" i="16"/>
  <c r="AH11" i="16"/>
  <c r="C14" i="18"/>
  <c r="E64" i="21"/>
  <c r="I14" i="16"/>
  <c r="I15" i="16"/>
  <c r="K13" i="15"/>
  <c r="J38" i="15"/>
  <c r="J48" i="1" s="1"/>
  <c r="M20" i="15"/>
  <c r="L30" i="16"/>
  <c r="L29" i="16"/>
  <c r="M26" i="16"/>
  <c r="M27" i="16" s="1"/>
  <c r="J13" i="16"/>
  <c r="J49" i="16"/>
  <c r="J35" i="16"/>
  <c r="J11" i="16"/>
  <c r="J9" i="16"/>
  <c r="G17" i="22"/>
  <c r="H43" i="16"/>
  <c r="H19" i="16"/>
  <c r="H69" i="16" s="1"/>
  <c r="G19" i="16"/>
  <c r="H58" i="16"/>
  <c r="H33" i="16"/>
  <c r="H41" i="16" s="1"/>
  <c r="H46" i="16" s="1"/>
  <c r="I38" i="16"/>
  <c r="I40" i="16" s="1"/>
  <c r="AH35" i="16"/>
  <c r="I36" i="16"/>
  <c r="AH36" i="16" s="1"/>
  <c r="I50" i="16"/>
  <c r="AH50" i="16" s="1"/>
  <c r="I34" i="16"/>
  <c r="H40" i="16"/>
  <c r="H44" i="16"/>
  <c r="H17" i="16"/>
  <c r="H16" i="16" s="1"/>
  <c r="G17" i="16"/>
  <c r="G44" i="16"/>
  <c r="G33" i="16"/>
  <c r="AI30" i="16"/>
  <c r="G40" i="16"/>
  <c r="I10" i="16"/>
  <c r="I18" i="16" s="1"/>
  <c r="I32" i="16"/>
  <c r="I33" i="16" s="1"/>
  <c r="I41" i="16" s="1"/>
  <c r="AH13" i="16"/>
  <c r="J61" i="16"/>
  <c r="J62" i="16" s="1"/>
  <c r="K9" i="21"/>
  <c r="K5" i="21" s="1"/>
  <c r="K4" i="21" s="1"/>
  <c r="F5" i="21"/>
  <c r="G60" i="16"/>
  <c r="G37" i="16"/>
  <c r="I48" i="16"/>
  <c r="AH48" i="16" s="1"/>
  <c r="K28" i="16"/>
  <c r="I36" i="15"/>
  <c r="I33" i="15" s="1"/>
  <c r="I83" i="1" s="1"/>
  <c r="K12" i="15"/>
  <c r="K14" i="15"/>
  <c r="K10" i="15"/>
  <c r="L28" i="15"/>
  <c r="L27" i="15"/>
  <c r="L31" i="15"/>
  <c r="L30" i="15"/>
  <c r="J25" i="15"/>
  <c r="J82" i="1" s="1"/>
  <c r="K26" i="15"/>
  <c r="AD54" i="16"/>
  <c r="AD25" i="16"/>
  <c r="AB54" i="16"/>
  <c r="AB25" i="16"/>
  <c r="E88" i="16"/>
  <c r="AC31" i="16"/>
  <c r="Z31" i="16"/>
  <c r="AA54" i="16"/>
  <c r="AA25" i="16"/>
  <c r="S78" i="16"/>
  <c r="R80" i="16"/>
  <c r="AC25" i="16"/>
  <c r="AC54" i="16"/>
  <c r="AE22" i="16"/>
  <c r="AE24" i="16"/>
  <c r="AE53" i="16"/>
  <c r="AB31" i="16"/>
  <c r="AA31" i="16"/>
  <c r="K37" i="15"/>
  <c r="H39" i="15"/>
  <c r="H84" i="1" s="1"/>
  <c r="H47" i="1" s="1"/>
  <c r="O7" i="15"/>
  <c r="N55" i="15"/>
  <c r="N94" i="1" s="1"/>
  <c r="M8" i="15"/>
  <c r="L11" i="15"/>
  <c r="L11" i="1" s="1"/>
  <c r="I42" i="15"/>
  <c r="I85" i="1" s="1"/>
  <c r="I40" i="15"/>
  <c r="I41" i="15"/>
  <c r="J45" i="15"/>
  <c r="J47" i="15"/>
  <c r="J22" i="15"/>
  <c r="K12" i="16" s="1"/>
  <c r="L9" i="15"/>
  <c r="L7" i="1" s="1"/>
  <c r="M6" i="15"/>
  <c r="L50" i="15"/>
  <c r="L87" i="1" s="1"/>
  <c r="K29" i="15"/>
  <c r="J15" i="15"/>
  <c r="K35" i="15"/>
  <c r="K34" i="15" s="1"/>
  <c r="J36" i="15" l="1"/>
  <c r="J33" i="15" s="1"/>
  <c r="J83" i="1" s="1"/>
  <c r="AH10" i="16"/>
  <c r="J86" i="1"/>
  <c r="L29" i="15"/>
  <c r="K25" i="15"/>
  <c r="K82" i="1" s="1"/>
  <c r="AH38" i="16"/>
  <c r="G43" i="16"/>
  <c r="G39" i="16"/>
  <c r="K15" i="15"/>
  <c r="AI28" i="16"/>
  <c r="H45" i="16"/>
  <c r="AH15" i="16"/>
  <c r="G59" i="16"/>
  <c r="I19" i="16"/>
  <c r="I69" i="16" s="1"/>
  <c r="H16" i="22"/>
  <c r="G5" i="21"/>
  <c r="F4" i="21"/>
  <c r="F64" i="21" s="1"/>
  <c r="F73" i="21" s="1"/>
  <c r="I46" i="16"/>
  <c r="H42" i="16"/>
  <c r="H68" i="16" s="1"/>
  <c r="K73" i="21"/>
  <c r="K64" i="21"/>
  <c r="G69" i="16"/>
  <c r="J38" i="16"/>
  <c r="J36" i="16"/>
  <c r="J50" i="16"/>
  <c r="J34" i="16"/>
  <c r="I59" i="16"/>
  <c r="G41" i="16"/>
  <c r="AH33" i="16"/>
  <c r="AH18" i="16"/>
  <c r="I60" i="16"/>
  <c r="H59" i="16"/>
  <c r="AH32" i="16"/>
  <c r="I37" i="16"/>
  <c r="I43" i="16" s="1"/>
  <c r="J15" i="16"/>
  <c r="J14" i="16"/>
  <c r="L13" i="15"/>
  <c r="K38" i="15"/>
  <c r="K48" i="1" s="1"/>
  <c r="G45" i="16"/>
  <c r="AH40" i="16"/>
  <c r="G16" i="16"/>
  <c r="I39" i="16"/>
  <c r="AH14" i="16"/>
  <c r="L28" i="16"/>
  <c r="L61" i="16" s="1"/>
  <c r="I44" i="16"/>
  <c r="I17" i="16"/>
  <c r="I16" i="16" s="1"/>
  <c r="E73" i="21"/>
  <c r="D73" i="21" s="1"/>
  <c r="D64" i="21"/>
  <c r="AI12" i="16"/>
  <c r="K9" i="16"/>
  <c r="K13" i="16"/>
  <c r="AI13" i="16" s="1"/>
  <c r="K49" i="16"/>
  <c r="AI49" i="16" s="1"/>
  <c r="K11" i="16"/>
  <c r="K35" i="16"/>
  <c r="K48" i="16" s="1"/>
  <c r="AI48" i="16" s="1"/>
  <c r="C14" i="19" s="1"/>
  <c r="K61" i="16"/>
  <c r="K62" i="16" s="1"/>
  <c r="J48" i="16"/>
  <c r="C25" i="18"/>
  <c r="B14" i="18"/>
  <c r="B25" i="18" s="1"/>
  <c r="B35" i="18" s="1"/>
  <c r="AH34" i="16"/>
  <c r="I58" i="16"/>
  <c r="H39" i="16"/>
  <c r="H72" i="16"/>
  <c r="H83" i="16"/>
  <c r="H86" i="16" s="1"/>
  <c r="J10" i="16"/>
  <c r="J32" i="16"/>
  <c r="J58" i="16" s="1"/>
  <c r="N20" i="15"/>
  <c r="M29" i="16"/>
  <c r="N26" i="16"/>
  <c r="N27" i="16" s="1"/>
  <c r="M30" i="16"/>
  <c r="L14" i="15"/>
  <c r="L12" i="15"/>
  <c r="L10" i="15"/>
  <c r="M28" i="15"/>
  <c r="M27" i="15"/>
  <c r="M31" i="15"/>
  <c r="M30" i="15"/>
  <c r="AK52" i="16"/>
  <c r="AE52" i="16"/>
  <c r="AF52" i="16"/>
  <c r="AE54" i="16"/>
  <c r="AE25" i="16"/>
  <c r="AD31" i="16"/>
  <c r="S80" i="16"/>
  <c r="M50" i="15"/>
  <c r="M87" i="1" s="1"/>
  <c r="O55" i="15"/>
  <c r="O94" i="1" s="1"/>
  <c r="I39" i="15"/>
  <c r="I84" i="1" s="1"/>
  <c r="I47" i="1" s="1"/>
  <c r="K45" i="15"/>
  <c r="K47" i="15"/>
  <c r="K22" i="15"/>
  <c r="L12" i="16" s="1"/>
  <c r="L26" i="15"/>
  <c r="L25" i="15" s="1"/>
  <c r="L82" i="1" s="1"/>
  <c r="M9" i="15"/>
  <c r="M7" i="1" s="1"/>
  <c r="N6" i="15"/>
  <c r="L37" i="15"/>
  <c r="L35" i="15"/>
  <c r="L34" i="15" s="1"/>
  <c r="P7" i="15"/>
  <c r="J42" i="15"/>
  <c r="J85" i="1" s="1"/>
  <c r="J40" i="15"/>
  <c r="J41" i="15"/>
  <c r="N8" i="15"/>
  <c r="M11" i="15"/>
  <c r="M11" i="1" s="1"/>
  <c r="E14" i="18" l="1"/>
  <c r="G25" i="18"/>
  <c r="K36" i="15"/>
  <c r="K33" i="15" s="1"/>
  <c r="K83" i="1" s="1"/>
  <c r="AH19" i="16"/>
  <c r="K86" i="1"/>
  <c r="AH59" i="16"/>
  <c r="AH44" i="16"/>
  <c r="J33" i="16"/>
  <c r="J59" i="16" s="1"/>
  <c r="I45" i="16"/>
  <c r="AH45" i="16" s="1"/>
  <c r="J60" i="16"/>
  <c r="AH39" i="16"/>
  <c r="AH17" i="16"/>
  <c r="AH60" i="16"/>
  <c r="AH43" i="16"/>
  <c r="AI62" i="16"/>
  <c r="C20" i="19" s="1"/>
  <c r="L62" i="16"/>
  <c r="K14" i="16"/>
  <c r="K15" i="16"/>
  <c r="L38" i="15"/>
  <c r="L48" i="1" s="1"/>
  <c r="M13" i="15"/>
  <c r="J37" i="16"/>
  <c r="J43" i="16" s="1"/>
  <c r="J40" i="16"/>
  <c r="J39" i="16" s="1"/>
  <c r="AH58" i="16"/>
  <c r="AH16" i="16"/>
  <c r="L9" i="16"/>
  <c r="L49" i="16"/>
  <c r="L13" i="16"/>
  <c r="L11" i="16"/>
  <c r="L35" i="16"/>
  <c r="L48" i="16" s="1"/>
  <c r="AH37" i="16"/>
  <c r="G4" i="21"/>
  <c r="K10" i="16"/>
  <c r="AI10" i="16" s="1"/>
  <c r="K32" i="16"/>
  <c r="AI9" i="16"/>
  <c r="J18" i="16"/>
  <c r="J19" i="16" s="1"/>
  <c r="J17" i="16"/>
  <c r="J44" i="16"/>
  <c r="G16" i="22"/>
  <c r="G25" i="22" s="1"/>
  <c r="G27" i="22" s="1"/>
  <c r="H25" i="22"/>
  <c r="I16" i="22" s="1"/>
  <c r="M28" i="16"/>
  <c r="K34" i="16"/>
  <c r="K36" i="16"/>
  <c r="K50" i="16"/>
  <c r="AI35" i="16"/>
  <c r="G72" i="16"/>
  <c r="G83" i="16"/>
  <c r="G86" i="16" s="1"/>
  <c r="AI11" i="16"/>
  <c r="AE29" i="16"/>
  <c r="AE30" i="16"/>
  <c r="O20" i="15"/>
  <c r="N29" i="16"/>
  <c r="O26" i="16"/>
  <c r="O27" i="16" s="1"/>
  <c r="N30" i="16"/>
  <c r="E22" i="18"/>
  <c r="E18" i="18"/>
  <c r="E19" i="18"/>
  <c r="E15" i="18"/>
  <c r="E23" i="18"/>
  <c r="E25" i="18"/>
  <c r="E16" i="18"/>
  <c r="E21" i="18"/>
  <c r="E17" i="18"/>
  <c r="C35" i="18"/>
  <c r="G35" i="18" s="1"/>
  <c r="E20" i="18"/>
  <c r="I83" i="16"/>
  <c r="I86" i="16" s="1"/>
  <c r="I72" i="16"/>
  <c r="AH41" i="16"/>
  <c r="G46" i="16"/>
  <c r="H71" i="16"/>
  <c r="H82" i="16"/>
  <c r="H85" i="16" s="1"/>
  <c r="M14" i="15"/>
  <c r="M12" i="15"/>
  <c r="N28" i="15"/>
  <c r="N27" i="15"/>
  <c r="N31" i="15"/>
  <c r="N30" i="15"/>
  <c r="N29" i="15" s="1"/>
  <c r="M10" i="15"/>
  <c r="M29" i="15"/>
  <c r="M26" i="15"/>
  <c r="M37" i="15"/>
  <c r="K42" i="15"/>
  <c r="K85" i="1" s="1"/>
  <c r="K41" i="15"/>
  <c r="K40" i="15"/>
  <c r="L47" i="15"/>
  <c r="L22" i="15"/>
  <c r="M12" i="16" s="1"/>
  <c r="L45" i="15"/>
  <c r="L86" i="1" s="1"/>
  <c r="J39" i="15"/>
  <c r="J84" i="1" s="1"/>
  <c r="J47" i="1" s="1"/>
  <c r="N9" i="15"/>
  <c r="N7" i="1" s="1"/>
  <c r="O6" i="15"/>
  <c r="O8" i="15"/>
  <c r="N11" i="15"/>
  <c r="N11" i="1" s="1"/>
  <c r="Q7" i="15"/>
  <c r="M35" i="15"/>
  <c r="M34" i="15" s="1"/>
  <c r="N50" i="15"/>
  <c r="N87" i="1" s="1"/>
  <c r="L15" i="15"/>
  <c r="P55" i="15"/>
  <c r="P94" i="1" s="1"/>
  <c r="I42" i="16" l="1"/>
  <c r="I68" i="16" s="1"/>
  <c r="M15" i="15"/>
  <c r="L36" i="15"/>
  <c r="L33" i="15" s="1"/>
  <c r="L83" i="1" s="1"/>
  <c r="AI50" i="16"/>
  <c r="J41" i="16"/>
  <c r="AI36" i="16"/>
  <c r="K33" i="16"/>
  <c r="K41" i="16" s="1"/>
  <c r="AI32" i="16"/>
  <c r="J69" i="16"/>
  <c r="L32" i="16"/>
  <c r="L58" i="16" s="1"/>
  <c r="L10" i="16"/>
  <c r="N28" i="16"/>
  <c r="K18" i="16"/>
  <c r="K19" i="16" s="1"/>
  <c r="AH46" i="16"/>
  <c r="G64" i="21"/>
  <c r="H4" i="21" s="1"/>
  <c r="N13" i="15"/>
  <c r="M38" i="15"/>
  <c r="M48" i="1" s="1"/>
  <c r="K60" i="16"/>
  <c r="AI34" i="16"/>
  <c r="M61" i="16"/>
  <c r="I82" i="16"/>
  <c r="I85" i="16" s="1"/>
  <c r="I71" i="16"/>
  <c r="C7" i="18"/>
  <c r="I21" i="22"/>
  <c r="I22" i="22"/>
  <c r="I18" i="22"/>
  <c r="I23" i="22"/>
  <c r="I20" i="22"/>
  <c r="H27" i="22"/>
  <c r="I19" i="22"/>
  <c r="I17" i="22"/>
  <c r="L50" i="16"/>
  <c r="L36" i="16"/>
  <c r="L38" i="16" s="1"/>
  <c r="L34" i="16"/>
  <c r="D31" i="18"/>
  <c r="D33" i="18"/>
  <c r="D29" i="18"/>
  <c r="D30" i="18"/>
  <c r="D35" i="18"/>
  <c r="D32" i="18"/>
  <c r="G42" i="16"/>
  <c r="J16" i="16"/>
  <c r="J45" i="16"/>
  <c r="M9" i="16"/>
  <c r="M13" i="16"/>
  <c r="M11" i="16"/>
  <c r="M49" i="16"/>
  <c r="M35" i="16"/>
  <c r="M48" i="16" s="1"/>
  <c r="P20" i="15"/>
  <c r="O29" i="16"/>
  <c r="P26" i="16"/>
  <c r="O30" i="16"/>
  <c r="K38" i="16"/>
  <c r="K37" i="16"/>
  <c r="AI37" i="16" s="1"/>
  <c r="AI14" i="16"/>
  <c r="L14" i="16"/>
  <c r="L15" i="16"/>
  <c r="K58" i="16"/>
  <c r="K17" i="16"/>
  <c r="AI15" i="16"/>
  <c r="N10" i="15"/>
  <c r="N14" i="15"/>
  <c r="N12" i="15"/>
  <c r="O27" i="15"/>
  <c r="O31" i="15"/>
  <c r="O30" i="15"/>
  <c r="O28" i="15"/>
  <c r="M25" i="15"/>
  <c r="M82" i="1" s="1"/>
  <c r="K39" i="15"/>
  <c r="K84" i="1" s="1"/>
  <c r="K47" i="1" s="1"/>
  <c r="R7" i="15"/>
  <c r="L42" i="15"/>
  <c r="L85" i="1" s="1"/>
  <c r="L40" i="15"/>
  <c r="L41" i="15"/>
  <c r="N35" i="15"/>
  <c r="N34" i="15" s="1"/>
  <c r="M47" i="15"/>
  <c r="M22" i="15"/>
  <c r="N12" i="16" s="1"/>
  <c r="M45" i="15"/>
  <c r="Q55" i="15"/>
  <c r="Q94" i="1" s="1"/>
  <c r="O50" i="15"/>
  <c r="O87" i="1" s="1"/>
  <c r="P8" i="15"/>
  <c r="O11" i="15"/>
  <c r="O11" i="1" s="1"/>
  <c r="N37" i="15"/>
  <c r="N26" i="15"/>
  <c r="N25" i="15" s="1"/>
  <c r="N82" i="1" s="1"/>
  <c r="O9" i="15"/>
  <c r="O7" i="1" s="1"/>
  <c r="P6" i="15"/>
  <c r="M36" i="15" l="1"/>
  <c r="M33" i="15" s="1"/>
  <c r="M83" i="1" s="1"/>
  <c r="M86" i="1"/>
  <c r="I25" i="22"/>
  <c r="K69" i="16"/>
  <c r="K83" i="16" s="1"/>
  <c r="K86" i="16" s="1"/>
  <c r="AI18" i="16"/>
  <c r="L60" i="16"/>
  <c r="K43" i="16"/>
  <c r="J46" i="16"/>
  <c r="O29" i="15"/>
  <c r="K46" i="16"/>
  <c r="AI41" i="16"/>
  <c r="L40" i="16"/>
  <c r="L39" i="16" s="1"/>
  <c r="M62" i="16"/>
  <c r="N61" i="16"/>
  <c r="AI58" i="16"/>
  <c r="K16" i="16"/>
  <c r="AI16" i="16" s="1"/>
  <c r="AI17" i="16"/>
  <c r="AJ26" i="16"/>
  <c r="P27" i="16"/>
  <c r="AJ27" i="16" s="1"/>
  <c r="Q20" i="15"/>
  <c r="Q26" i="16"/>
  <c r="Q27" i="16" s="1"/>
  <c r="P29" i="16"/>
  <c r="P30" i="16"/>
  <c r="AI60" i="16"/>
  <c r="C22" i="19" s="1"/>
  <c r="N13" i="16"/>
  <c r="N9" i="16"/>
  <c r="N49" i="16"/>
  <c r="N11" i="16"/>
  <c r="N35" i="16"/>
  <c r="N48" i="16" s="1"/>
  <c r="K40" i="16"/>
  <c r="AI38" i="16"/>
  <c r="M50" i="16"/>
  <c r="M36" i="16"/>
  <c r="M38" i="16" s="1"/>
  <c r="M34" i="16"/>
  <c r="M60" i="16" s="1"/>
  <c r="C9" i="18"/>
  <c r="B7" i="18"/>
  <c r="B9" i="18" s="1"/>
  <c r="O13" i="15"/>
  <c r="N38" i="15"/>
  <c r="N48" i="1" s="1"/>
  <c r="L33" i="16"/>
  <c r="K59" i="16"/>
  <c r="AI33" i="16"/>
  <c r="AH42" i="16"/>
  <c r="G68" i="16"/>
  <c r="L18" i="16"/>
  <c r="H34" i="21"/>
  <c r="H36" i="21"/>
  <c r="H27" i="21"/>
  <c r="H35" i="21"/>
  <c r="H60" i="21"/>
  <c r="H29" i="21"/>
  <c r="H9" i="21"/>
  <c r="H24" i="21"/>
  <c r="H14" i="21"/>
  <c r="H59" i="21"/>
  <c r="H17" i="21"/>
  <c r="G73" i="21"/>
  <c r="H62" i="21" s="1"/>
  <c r="H21" i="21"/>
  <c r="H39" i="21"/>
  <c r="H53" i="21"/>
  <c r="H13" i="21"/>
  <c r="H10" i="21"/>
  <c r="H19" i="21"/>
  <c r="H40" i="21"/>
  <c r="H50" i="21"/>
  <c r="H41" i="21"/>
  <c r="H20" i="21"/>
  <c r="H30" i="21"/>
  <c r="H33" i="21"/>
  <c r="H46" i="21"/>
  <c r="H58" i="21"/>
  <c r="H12" i="21"/>
  <c r="H16" i="21"/>
  <c r="H23" i="21"/>
  <c r="H54" i="21"/>
  <c r="H18" i="21"/>
  <c r="H61" i="21"/>
  <c r="H26" i="21"/>
  <c r="H6" i="21"/>
  <c r="H37" i="21"/>
  <c r="H56" i="21"/>
  <c r="H38" i="21"/>
  <c r="H25" i="21"/>
  <c r="H32" i="21"/>
  <c r="H15" i="21"/>
  <c r="H28" i="21"/>
  <c r="H31" i="21"/>
  <c r="H47" i="21"/>
  <c r="H11" i="21"/>
  <c r="H51" i="21"/>
  <c r="H7" i="21"/>
  <c r="H22" i="21"/>
  <c r="H57" i="21"/>
  <c r="H8" i="21"/>
  <c r="H52" i="21"/>
  <c r="H5" i="21"/>
  <c r="AI19" i="16"/>
  <c r="K44" i="16"/>
  <c r="L17" i="16"/>
  <c r="L44" i="16"/>
  <c r="M15" i="16"/>
  <c r="M14" i="16"/>
  <c r="M32" i="16"/>
  <c r="M10" i="16"/>
  <c r="K72" i="16"/>
  <c r="O28" i="16"/>
  <c r="O61" i="16" s="1"/>
  <c r="L37" i="16"/>
  <c r="J72" i="16"/>
  <c r="J83" i="16"/>
  <c r="J86" i="16" s="1"/>
  <c r="O10" i="15"/>
  <c r="O14" i="15"/>
  <c r="O12" i="15"/>
  <c r="P31" i="15"/>
  <c r="P30" i="15"/>
  <c r="P28" i="15"/>
  <c r="P27" i="15"/>
  <c r="O26" i="15"/>
  <c r="O35" i="15"/>
  <c r="O34" i="15" s="1"/>
  <c r="Q8" i="15"/>
  <c r="P11" i="15"/>
  <c r="P11" i="1" s="1"/>
  <c r="R55" i="15"/>
  <c r="R94" i="1" s="1"/>
  <c r="L39" i="15"/>
  <c r="L84" i="1" s="1"/>
  <c r="L47" i="1" s="1"/>
  <c r="S7" i="15"/>
  <c r="P50" i="15"/>
  <c r="P87" i="1" s="1"/>
  <c r="N15" i="15"/>
  <c r="N47" i="15"/>
  <c r="N45" i="15"/>
  <c r="N22" i="15"/>
  <c r="O12" i="16" s="1"/>
  <c r="M42" i="15"/>
  <c r="M85" i="1" s="1"/>
  <c r="M41" i="15"/>
  <c r="M40" i="15"/>
  <c r="Q6" i="15"/>
  <c r="P9" i="15"/>
  <c r="P7" i="1" s="1"/>
  <c r="O37" i="15"/>
  <c r="O25" i="15" l="1"/>
  <c r="O82" i="1" s="1"/>
  <c r="B38" i="18"/>
  <c r="B27" i="18"/>
  <c r="D7" i="18"/>
  <c r="C27" i="18"/>
  <c r="G9" i="18"/>
  <c r="N86" i="1"/>
  <c r="P26" i="15"/>
  <c r="L41" i="16"/>
  <c r="K39" i="16"/>
  <c r="AI39" i="16" s="1"/>
  <c r="L16" i="16"/>
  <c r="J42" i="16"/>
  <c r="AI43" i="16"/>
  <c r="C16" i="19" s="1"/>
  <c r="L59" i="16"/>
  <c r="AI46" i="16"/>
  <c r="C18" i="19" s="1"/>
  <c r="G71" i="16"/>
  <c r="G82" i="16"/>
  <c r="G85" i="16" s="1"/>
  <c r="O38" i="15"/>
  <c r="O48" i="1" s="1"/>
  <c r="P13" i="15"/>
  <c r="N36" i="15"/>
  <c r="N33" i="15" s="1"/>
  <c r="N83" i="1" s="1"/>
  <c r="O13" i="16"/>
  <c r="O9" i="16"/>
  <c r="O11" i="16"/>
  <c r="O49" i="16"/>
  <c r="O35" i="16"/>
  <c r="O48" i="16" s="1"/>
  <c r="N10" i="16"/>
  <c r="N32" i="16"/>
  <c r="N62" i="16"/>
  <c r="O62" i="16" s="1"/>
  <c r="AI44" i="16"/>
  <c r="C17" i="19" s="1"/>
  <c r="K45" i="16"/>
  <c r="AI40" i="16"/>
  <c r="C19" i="19" s="1"/>
  <c r="R20" i="15"/>
  <c r="R26" i="16"/>
  <c r="R27" i="16" s="1"/>
  <c r="Q29" i="16"/>
  <c r="Q30" i="16"/>
  <c r="N15" i="16"/>
  <c r="N14" i="16"/>
  <c r="L43" i="16"/>
  <c r="M18" i="16"/>
  <c r="M40" i="16"/>
  <c r="M58" i="16"/>
  <c r="M33" i="16"/>
  <c r="M44" i="16"/>
  <c r="M17" i="16"/>
  <c r="D6" i="18"/>
  <c r="C38" i="18"/>
  <c r="G38" i="18" s="1"/>
  <c r="N34" i="16"/>
  <c r="N36" i="16"/>
  <c r="N38" i="16" s="1"/>
  <c r="N50" i="16"/>
  <c r="AJ30" i="16"/>
  <c r="L19" i="16"/>
  <c r="AI59" i="16"/>
  <c r="C21" i="19" s="1"/>
  <c r="M37" i="16"/>
  <c r="P28" i="16"/>
  <c r="P61" i="16" s="1"/>
  <c r="AJ29" i="16"/>
  <c r="L45" i="16"/>
  <c r="P14" i="15"/>
  <c r="P12" i="15"/>
  <c r="Q31" i="15"/>
  <c r="Q30" i="15"/>
  <c r="Q28" i="15"/>
  <c r="Q27" i="15"/>
  <c r="P10" i="15"/>
  <c r="R8" i="15"/>
  <c r="Q11" i="15"/>
  <c r="Q11" i="1" s="1"/>
  <c r="P35" i="15"/>
  <c r="P34" i="15" s="1"/>
  <c r="N42" i="15"/>
  <c r="N85" i="1" s="1"/>
  <c r="N41" i="15"/>
  <c r="N40" i="15"/>
  <c r="P29" i="15"/>
  <c r="T7" i="15"/>
  <c r="O15" i="15"/>
  <c r="R6" i="15"/>
  <c r="Q9" i="15"/>
  <c r="Q7" i="1" s="1"/>
  <c r="S55" i="15"/>
  <c r="M39" i="15"/>
  <c r="M84" i="1" s="1"/>
  <c r="M47" i="1" s="1"/>
  <c r="Q50" i="15"/>
  <c r="Q87" i="1" s="1"/>
  <c r="P37" i="15"/>
  <c r="O47" i="15"/>
  <c r="O45" i="15"/>
  <c r="O22" i="15"/>
  <c r="P12" i="16" s="1"/>
  <c r="O86" i="1" l="1"/>
  <c r="G27" i="18"/>
  <c r="E1" i="21"/>
  <c r="P25" i="15"/>
  <c r="P82" i="1" s="1"/>
  <c r="J68" i="16"/>
  <c r="M39" i="16"/>
  <c r="O36" i="15"/>
  <c r="O33" i="15" s="1"/>
  <c r="O83" i="1" s="1"/>
  <c r="M41" i="16"/>
  <c r="M46" i="16" s="1"/>
  <c r="L46" i="16"/>
  <c r="N58" i="16"/>
  <c r="M59" i="16"/>
  <c r="O10" i="16"/>
  <c r="O32" i="16"/>
  <c r="O58" i="16" s="1"/>
  <c r="Q29" i="15"/>
  <c r="N60" i="16"/>
  <c r="M45" i="16"/>
  <c r="S20" i="15"/>
  <c r="S26" i="16"/>
  <c r="R30" i="16"/>
  <c r="R29" i="16"/>
  <c r="P38" i="15"/>
  <c r="P48" i="1" s="1"/>
  <c r="Q13" i="15"/>
  <c r="O15" i="16"/>
  <c r="O14" i="16"/>
  <c r="M16" i="16"/>
  <c r="M19" i="16"/>
  <c r="M69" i="16" s="1"/>
  <c r="N17" i="16"/>
  <c r="N44" i="16"/>
  <c r="O50" i="16"/>
  <c r="O36" i="16"/>
  <c r="O38" i="16" s="1"/>
  <c r="O34" i="16"/>
  <c r="N40" i="16"/>
  <c r="K42" i="16"/>
  <c r="AI45" i="16"/>
  <c r="N18" i="16"/>
  <c r="N37" i="16"/>
  <c r="Q28" i="16"/>
  <c r="Q61" i="16" s="1"/>
  <c r="L69" i="16"/>
  <c r="M43" i="16"/>
  <c r="P62" i="16"/>
  <c r="AJ28" i="16"/>
  <c r="P11" i="16"/>
  <c r="AJ11" i="16" s="1"/>
  <c r="AJ12" i="16"/>
  <c r="P49" i="16"/>
  <c r="AJ49" i="16" s="1"/>
  <c r="P13" i="16"/>
  <c r="P9" i="16"/>
  <c r="AJ9" i="16" s="1"/>
  <c r="P35" i="16"/>
  <c r="P48" i="16" s="1"/>
  <c r="AJ48" i="16" s="1"/>
  <c r="E14" i="19" s="1"/>
  <c r="N33" i="16"/>
  <c r="N41" i="16" s="1"/>
  <c r="Q26" i="15"/>
  <c r="R31" i="15"/>
  <c r="R30" i="15"/>
  <c r="R28" i="15"/>
  <c r="R27" i="15"/>
  <c r="Q10" i="15"/>
  <c r="Q14" i="15"/>
  <c r="Q12" i="15"/>
  <c r="N39" i="15"/>
  <c r="N84" i="1" s="1"/>
  <c r="N47" i="1" s="1"/>
  <c r="Q37" i="15"/>
  <c r="Q35" i="15"/>
  <c r="Q34" i="15" s="1"/>
  <c r="R9" i="15"/>
  <c r="R7" i="1" s="1"/>
  <c r="S6" i="15"/>
  <c r="O42" i="15"/>
  <c r="O85" i="1" s="1"/>
  <c r="O41" i="15"/>
  <c r="O40" i="15"/>
  <c r="P47" i="15"/>
  <c r="P45" i="15"/>
  <c r="P22" i="15"/>
  <c r="Q12" i="16" s="1"/>
  <c r="S8" i="15"/>
  <c r="R11" i="15"/>
  <c r="R11" i="1" s="1"/>
  <c r="R50" i="15"/>
  <c r="R87" i="1" s="1"/>
  <c r="U7" i="15"/>
  <c r="T55" i="15"/>
  <c r="P15" i="15"/>
  <c r="P86" i="1" l="1"/>
  <c r="S27" i="16"/>
  <c r="AF26" i="16"/>
  <c r="AK26" i="16"/>
  <c r="Q25" i="15"/>
  <c r="Q82" i="1" s="1"/>
  <c r="M42" i="16"/>
  <c r="M68" i="16" s="1"/>
  <c r="M71" i="16" s="1"/>
  <c r="L42" i="16"/>
  <c r="L68" i="16" s="1"/>
  <c r="L82" i="16" s="1"/>
  <c r="L85" i="16" s="1"/>
  <c r="J82" i="16"/>
  <c r="J85" i="16" s="1"/>
  <c r="J71" i="16"/>
  <c r="N46" i="16"/>
  <c r="Q13" i="16"/>
  <c r="Q49" i="16"/>
  <c r="Q11" i="16"/>
  <c r="Q9" i="16"/>
  <c r="Q35" i="16"/>
  <c r="Q48" i="16" s="1"/>
  <c r="K68" i="16"/>
  <c r="AI42" i="16"/>
  <c r="N59" i="16"/>
  <c r="N43" i="16"/>
  <c r="N39" i="16"/>
  <c r="R28" i="16"/>
  <c r="P50" i="16"/>
  <c r="AJ50" i="16" s="1"/>
  <c r="AJ35" i="16"/>
  <c r="P36" i="16"/>
  <c r="P34" i="16"/>
  <c r="L72" i="16"/>
  <c r="L83" i="16"/>
  <c r="L86" i="16" s="1"/>
  <c r="N45" i="16"/>
  <c r="P36" i="15"/>
  <c r="P33" i="15" s="1"/>
  <c r="P83" i="1" s="1"/>
  <c r="AJ62" i="16"/>
  <c r="E20" i="19" s="1"/>
  <c r="Q62" i="16"/>
  <c r="P14" i="16"/>
  <c r="P15" i="16"/>
  <c r="AJ15" i="16" s="1"/>
  <c r="AJ13" i="16"/>
  <c r="N19" i="16"/>
  <c r="O44" i="16"/>
  <c r="O40" i="16"/>
  <c r="O39" i="16" s="1"/>
  <c r="N16" i="16"/>
  <c r="T20" i="15"/>
  <c r="S30" i="16"/>
  <c r="T26" i="16"/>
  <c r="T27" i="16" s="1"/>
  <c r="S29" i="16"/>
  <c r="P10" i="16"/>
  <c r="P32" i="16"/>
  <c r="O60" i="16"/>
  <c r="M83" i="16"/>
  <c r="M86" i="16" s="1"/>
  <c r="M72" i="16"/>
  <c r="O17" i="16"/>
  <c r="O33" i="16"/>
  <c r="O41" i="16" s="1"/>
  <c r="O37" i="16"/>
  <c r="O43" i="16" s="1"/>
  <c r="Q38" i="15"/>
  <c r="Q48" i="1" s="1"/>
  <c r="R13" i="15"/>
  <c r="O18" i="16"/>
  <c r="O19" i="16" s="1"/>
  <c r="O69" i="16" s="1"/>
  <c r="R14" i="15"/>
  <c r="R12" i="15"/>
  <c r="S31" i="15"/>
  <c r="S30" i="15"/>
  <c r="S28" i="15"/>
  <c r="S27" i="15"/>
  <c r="R10" i="15"/>
  <c r="O39" i="15"/>
  <c r="O84" i="1" s="1"/>
  <c r="O47" i="1" s="1"/>
  <c r="R29" i="15"/>
  <c r="R26" i="15"/>
  <c r="Q15" i="15"/>
  <c r="Q47" i="15"/>
  <c r="Q45" i="15"/>
  <c r="Q86" i="1" s="1"/>
  <c r="Q22" i="15"/>
  <c r="R12" i="16" s="1"/>
  <c r="R37" i="15"/>
  <c r="T8" i="15"/>
  <c r="S11" i="15"/>
  <c r="S9" i="15"/>
  <c r="T6" i="15"/>
  <c r="P42" i="15"/>
  <c r="P85" i="1" s="1"/>
  <c r="P40" i="15"/>
  <c r="P41" i="15"/>
  <c r="V7" i="15"/>
  <c r="U55" i="15"/>
  <c r="S50" i="15"/>
  <c r="R35" i="15"/>
  <c r="R34" i="15" s="1"/>
  <c r="AF29" i="16" l="1"/>
  <c r="AK29" i="16"/>
  <c r="M82" i="16"/>
  <c r="M85" i="16" s="1"/>
  <c r="AF27" i="16"/>
  <c r="AK27" i="16"/>
  <c r="AF30" i="16"/>
  <c r="AK30" i="16"/>
  <c r="L71" i="16"/>
  <c r="P37" i="16"/>
  <c r="P43" i="16" s="1"/>
  <c r="AJ43" i="16" s="1"/>
  <c r="E16" i="19" s="1"/>
  <c r="AJ36" i="16"/>
  <c r="P58" i="16"/>
  <c r="U20" i="15"/>
  <c r="T30" i="16"/>
  <c r="T29" i="16"/>
  <c r="U26" i="16"/>
  <c r="U27" i="16" s="1"/>
  <c r="R61" i="16"/>
  <c r="R62" i="16" s="1"/>
  <c r="O72" i="16"/>
  <c r="O83" i="16"/>
  <c r="O86" i="16" s="1"/>
  <c r="N69" i="16"/>
  <c r="K82" i="16"/>
  <c r="K85" i="16" s="1"/>
  <c r="K71" i="16"/>
  <c r="O59" i="16"/>
  <c r="P18" i="16"/>
  <c r="P19" i="16" s="1"/>
  <c r="AJ10" i="16"/>
  <c r="P38" i="16"/>
  <c r="P33" i="16"/>
  <c r="P41" i="16" s="1"/>
  <c r="AJ32" i="16"/>
  <c r="Q14" i="16"/>
  <c r="Q15" i="16"/>
  <c r="Q17" i="16" s="1"/>
  <c r="Q16" i="16" s="1"/>
  <c r="O46" i="16"/>
  <c r="P60" i="16"/>
  <c r="AJ60" i="16" s="1"/>
  <c r="E22" i="19" s="1"/>
  <c r="AJ34" i="16"/>
  <c r="Q36" i="15"/>
  <c r="Q33" i="15" s="1"/>
  <c r="Q83" i="1" s="1"/>
  <c r="R38" i="15"/>
  <c r="R48" i="1" s="1"/>
  <c r="S13" i="15"/>
  <c r="O16" i="16"/>
  <c r="S28" i="16"/>
  <c r="O45" i="16"/>
  <c r="P17" i="16"/>
  <c r="P44" i="16"/>
  <c r="N42" i="16"/>
  <c r="Q50" i="16"/>
  <c r="Q34" i="16"/>
  <c r="Q36" i="16"/>
  <c r="Q38" i="16" s="1"/>
  <c r="R9" i="16"/>
  <c r="R49" i="16"/>
  <c r="R13" i="16"/>
  <c r="R11" i="16"/>
  <c r="R35" i="16"/>
  <c r="R48" i="16" s="1"/>
  <c r="AJ14" i="16"/>
  <c r="Q10" i="16"/>
  <c r="Q18" i="16" s="1"/>
  <c r="Q32" i="16"/>
  <c r="S12" i="15"/>
  <c r="S14" i="15"/>
  <c r="T28" i="15"/>
  <c r="T27" i="15"/>
  <c r="T31" i="15"/>
  <c r="T30" i="15"/>
  <c r="T29" i="15" s="1"/>
  <c r="S10" i="15"/>
  <c r="R25" i="15"/>
  <c r="R82" i="1" s="1"/>
  <c r="P39" i="15"/>
  <c r="P84" i="1" s="1"/>
  <c r="P47" i="1" s="1"/>
  <c r="R45" i="15"/>
  <c r="R47" i="15"/>
  <c r="R22" i="15"/>
  <c r="S12" i="16" s="1"/>
  <c r="W7" i="15"/>
  <c r="S37" i="15"/>
  <c r="Q42" i="15"/>
  <c r="Q85" i="1" s="1"/>
  <c r="Q40" i="15"/>
  <c r="Q41" i="15"/>
  <c r="U8" i="15"/>
  <c r="T11" i="15"/>
  <c r="S35" i="15"/>
  <c r="S34" i="15" s="1"/>
  <c r="T50" i="15"/>
  <c r="S29" i="15"/>
  <c r="R15" i="15"/>
  <c r="V55" i="15"/>
  <c r="T9" i="15"/>
  <c r="U6" i="15"/>
  <c r="S26" i="15"/>
  <c r="AK12" i="16" l="1"/>
  <c r="AF12" i="16"/>
  <c r="R36" i="15"/>
  <c r="R33" i="15" s="1"/>
  <c r="R83" i="1" s="1"/>
  <c r="R86" i="1"/>
  <c r="S61" i="16"/>
  <c r="AF61" i="16" s="1"/>
  <c r="AK28" i="16"/>
  <c r="AF28" i="16"/>
  <c r="S62" i="16"/>
  <c r="AJ18" i="16"/>
  <c r="Q44" i="16"/>
  <c r="Q40" i="16"/>
  <c r="Q45" i="16" s="1"/>
  <c r="Q60" i="16"/>
  <c r="Q33" i="16"/>
  <c r="Q41" i="16" s="1"/>
  <c r="R10" i="16"/>
  <c r="R18" i="16" s="1"/>
  <c r="R32" i="16"/>
  <c r="R58" i="16" s="1"/>
  <c r="N68" i="16"/>
  <c r="N83" i="16"/>
  <c r="N86" i="16" s="1"/>
  <c r="N72" i="16"/>
  <c r="T28" i="16"/>
  <c r="AJ37" i="16"/>
  <c r="S38" i="15"/>
  <c r="T13" i="15"/>
  <c r="P46" i="16"/>
  <c r="AJ46" i="16" s="1"/>
  <c r="E18" i="19" s="1"/>
  <c r="AJ41" i="16"/>
  <c r="P69" i="16"/>
  <c r="AJ19" i="16"/>
  <c r="AJ44" i="16"/>
  <c r="E17" i="19" s="1"/>
  <c r="P59" i="16"/>
  <c r="AJ33" i="16"/>
  <c r="V20" i="15"/>
  <c r="U29" i="16"/>
  <c r="U30" i="16"/>
  <c r="V26" i="16"/>
  <c r="V27" i="16" s="1"/>
  <c r="S49" i="16"/>
  <c r="S9" i="16"/>
  <c r="S11" i="16"/>
  <c r="S13" i="16"/>
  <c r="S35" i="16"/>
  <c r="S48" i="16" s="1"/>
  <c r="Q37" i="16"/>
  <c r="P16" i="16"/>
  <c r="AJ16" i="16" s="1"/>
  <c r="AJ17" i="16"/>
  <c r="AJ58" i="16"/>
  <c r="O42" i="16"/>
  <c r="O68" i="16" s="1"/>
  <c r="Q58" i="16"/>
  <c r="P40" i="16"/>
  <c r="P39" i="16" s="1"/>
  <c r="AJ38" i="16"/>
  <c r="R36" i="16"/>
  <c r="R38" i="16" s="1"/>
  <c r="R34" i="16"/>
  <c r="R60" i="16" s="1"/>
  <c r="R50" i="16"/>
  <c r="R14" i="16"/>
  <c r="R15" i="16"/>
  <c r="Q19" i="16"/>
  <c r="Q69" i="16" s="1"/>
  <c r="S25" i="15"/>
  <c r="U28" i="15"/>
  <c r="U27" i="15"/>
  <c r="U31" i="15"/>
  <c r="U30" i="15"/>
  <c r="T10" i="15"/>
  <c r="T14" i="15"/>
  <c r="T12" i="15"/>
  <c r="V8" i="15"/>
  <c r="U11" i="15"/>
  <c r="T35" i="15"/>
  <c r="T34" i="15" s="1"/>
  <c r="S45" i="15"/>
  <c r="S47" i="15"/>
  <c r="S22" i="15"/>
  <c r="T12" i="16" s="1"/>
  <c r="X7" i="15"/>
  <c r="V6" i="15"/>
  <c r="U9" i="15"/>
  <c r="U10" i="15" s="1"/>
  <c r="S15" i="15"/>
  <c r="R42" i="15"/>
  <c r="R85" i="1" s="1"/>
  <c r="R41" i="15"/>
  <c r="R40" i="15"/>
  <c r="T26" i="15"/>
  <c r="T25" i="15" s="1"/>
  <c r="W55" i="15"/>
  <c r="Q39" i="15"/>
  <c r="Q84" i="1" s="1"/>
  <c r="Q47" i="1" s="1"/>
  <c r="U50" i="15"/>
  <c r="T37" i="15"/>
  <c r="U29" i="15" l="1"/>
  <c r="AK48" i="16"/>
  <c r="AF48" i="16"/>
  <c r="AK49" i="16"/>
  <c r="AF49" i="16"/>
  <c r="AK35" i="16"/>
  <c r="AF35" i="16"/>
  <c r="AK62" i="16"/>
  <c r="AF62" i="16"/>
  <c r="AF13" i="16"/>
  <c r="AK13" i="16"/>
  <c r="AF11" i="16"/>
  <c r="AK11" i="16"/>
  <c r="AF9" i="16"/>
  <c r="AK9" i="16"/>
  <c r="Q39" i="16"/>
  <c r="R40" i="16"/>
  <c r="R39" i="16" s="1"/>
  <c r="P45" i="16"/>
  <c r="AJ40" i="16"/>
  <c r="E19" i="19" s="1"/>
  <c r="P83" i="16"/>
  <c r="P86" i="16" s="1"/>
  <c r="P72" i="16"/>
  <c r="N71" i="16"/>
  <c r="N82" i="16"/>
  <c r="N85" i="16" s="1"/>
  <c r="R37" i="16"/>
  <c r="R43" i="16" s="1"/>
  <c r="U13" i="15"/>
  <c r="T38" i="15"/>
  <c r="R33" i="16"/>
  <c r="R41" i="16" s="1"/>
  <c r="R46" i="16" s="1"/>
  <c r="T11" i="16"/>
  <c r="T13" i="16"/>
  <c r="T9" i="16"/>
  <c r="T49" i="16"/>
  <c r="T35" i="16"/>
  <c r="Q43" i="16"/>
  <c r="AJ59" i="16"/>
  <c r="E21" i="19" s="1"/>
  <c r="T61" i="16"/>
  <c r="T62" i="16" s="1"/>
  <c r="Q72" i="16"/>
  <c r="Q83" i="16"/>
  <c r="Q86" i="16" s="1"/>
  <c r="O82" i="16"/>
  <c r="O85" i="16" s="1"/>
  <c r="O71" i="16"/>
  <c r="U28" i="16"/>
  <c r="U61" i="16" s="1"/>
  <c r="S36" i="15"/>
  <c r="S33" i="15" s="1"/>
  <c r="S10" i="16"/>
  <c r="S32" i="16"/>
  <c r="S58" i="16" s="1"/>
  <c r="S36" i="16"/>
  <c r="S38" i="16" s="1"/>
  <c r="S50" i="16"/>
  <c r="S34" i="16"/>
  <c r="W20" i="15"/>
  <c r="V29" i="16"/>
  <c r="W26" i="16"/>
  <c r="W27" i="16" s="1"/>
  <c r="V30" i="16"/>
  <c r="Q46" i="16"/>
  <c r="AJ39" i="16"/>
  <c r="R17" i="16"/>
  <c r="R16" i="16" s="1"/>
  <c r="R44" i="16"/>
  <c r="R19" i="16"/>
  <c r="R69" i="16" s="1"/>
  <c r="S14" i="16"/>
  <c r="S15" i="16"/>
  <c r="Q59" i="16"/>
  <c r="U14" i="15"/>
  <c r="U12" i="15"/>
  <c r="V28" i="15"/>
  <c r="V27" i="15"/>
  <c r="V31" i="15"/>
  <c r="V30" i="15"/>
  <c r="R39" i="15"/>
  <c r="R84" i="1" s="1"/>
  <c r="R47" i="1" s="1"/>
  <c r="T47" i="15"/>
  <c r="T22" i="15"/>
  <c r="U12" i="16" s="1"/>
  <c r="T45" i="15"/>
  <c r="X55" i="15"/>
  <c r="S42" i="15"/>
  <c r="S41" i="15"/>
  <c r="S40" i="15"/>
  <c r="U35" i="15"/>
  <c r="U34" i="15" s="1"/>
  <c r="V9" i="15"/>
  <c r="V10" i="15" s="1"/>
  <c r="W6" i="15"/>
  <c r="T15" i="15"/>
  <c r="W8" i="15"/>
  <c r="V11" i="15"/>
  <c r="U37" i="15"/>
  <c r="V50" i="15"/>
  <c r="Y7" i="15"/>
  <c r="U26" i="15"/>
  <c r="U25" i="15" s="1"/>
  <c r="AK50" i="16" l="1"/>
  <c r="AF50" i="16"/>
  <c r="Q42" i="16"/>
  <c r="Q68" i="16" s="1"/>
  <c r="Q71" i="16" s="1"/>
  <c r="AF34" i="16"/>
  <c r="AK34" i="16"/>
  <c r="AF36" i="16"/>
  <c r="AK36" i="16"/>
  <c r="V26" i="15"/>
  <c r="AF58" i="16"/>
  <c r="AK58" i="16"/>
  <c r="S40" i="16"/>
  <c r="S39" i="16" s="1"/>
  <c r="AF38" i="16"/>
  <c r="AK38" i="16"/>
  <c r="AF15" i="16"/>
  <c r="AK15" i="16"/>
  <c r="AF32" i="16"/>
  <c r="AK32" i="16"/>
  <c r="AK14" i="16"/>
  <c r="AF14" i="16"/>
  <c r="U62" i="16"/>
  <c r="S18" i="16"/>
  <c r="AF10" i="16"/>
  <c r="AK10" i="16"/>
  <c r="T50" i="16"/>
  <c r="T34" i="16"/>
  <c r="T60" i="16" s="1"/>
  <c r="T36" i="16"/>
  <c r="R72" i="16"/>
  <c r="R83" i="16"/>
  <c r="R86" i="16" s="1"/>
  <c r="T10" i="16"/>
  <c r="T18" i="16" s="1"/>
  <c r="T32" i="16"/>
  <c r="V13" i="15"/>
  <c r="U38" i="15"/>
  <c r="U36" i="15" s="1"/>
  <c r="U33" i="15" s="1"/>
  <c r="S37" i="16"/>
  <c r="T14" i="16"/>
  <c r="T15" i="16"/>
  <c r="P42" i="16"/>
  <c r="AJ45" i="16"/>
  <c r="U49" i="16"/>
  <c r="U9" i="16"/>
  <c r="U13" i="16"/>
  <c r="U11" i="16"/>
  <c r="U35" i="16"/>
  <c r="U48" i="16" s="1"/>
  <c r="S17" i="16"/>
  <c r="S44" i="16"/>
  <c r="T36" i="15"/>
  <c r="T33" i="15" s="1"/>
  <c r="R45" i="16"/>
  <c r="S60" i="16"/>
  <c r="R42" i="16"/>
  <c r="R68" i="16" s="1"/>
  <c r="V28" i="16"/>
  <c r="V61" i="16" s="1"/>
  <c r="S33" i="16"/>
  <c r="R59" i="16"/>
  <c r="X20" i="15"/>
  <c r="W29" i="16"/>
  <c r="W30" i="16"/>
  <c r="X26" i="16"/>
  <c r="X27" i="16" s="1"/>
  <c r="T48" i="16"/>
  <c r="V14" i="15"/>
  <c r="V12" i="15"/>
  <c r="W27" i="15"/>
  <c r="W31" i="15"/>
  <c r="W30" i="15"/>
  <c r="W28" i="15"/>
  <c r="V29" i="15"/>
  <c r="V25" i="15" s="1"/>
  <c r="S39" i="15"/>
  <c r="V35" i="15"/>
  <c r="V34" i="15" s="1"/>
  <c r="W9" i="15"/>
  <c r="W10" i="15" s="1"/>
  <c r="X6" i="15"/>
  <c r="W50" i="15"/>
  <c r="U47" i="15"/>
  <c r="U22" i="15"/>
  <c r="V12" i="16" s="1"/>
  <c r="U45" i="15"/>
  <c r="Y55" i="15"/>
  <c r="T42" i="15"/>
  <c r="T40" i="15"/>
  <c r="T41" i="15"/>
  <c r="X8" i="15"/>
  <c r="W11" i="15"/>
  <c r="U15" i="15"/>
  <c r="Z7" i="15"/>
  <c r="V37" i="15"/>
  <c r="W29" i="15" l="1"/>
  <c r="V62" i="16"/>
  <c r="Q82" i="16"/>
  <c r="Q85" i="16" s="1"/>
  <c r="AF39" i="16"/>
  <c r="AK39" i="16"/>
  <c r="S41" i="16"/>
  <c r="S46" i="16" s="1"/>
  <c r="AK33" i="16"/>
  <c r="AF33" i="16"/>
  <c r="AF37" i="16"/>
  <c r="AK37" i="16"/>
  <c r="W28" i="16"/>
  <c r="W61" i="16" s="1"/>
  <c r="AK40" i="16"/>
  <c r="AF40" i="16"/>
  <c r="AK60" i="16"/>
  <c r="AF60" i="16"/>
  <c r="S43" i="16"/>
  <c r="AF18" i="16"/>
  <c r="AK18" i="16"/>
  <c r="AF44" i="16"/>
  <c r="AK44" i="16"/>
  <c r="S16" i="16"/>
  <c r="AK17" i="16"/>
  <c r="AF17" i="16"/>
  <c r="S19" i="16"/>
  <c r="T33" i="16"/>
  <c r="T59" i="16" s="1"/>
  <c r="T37" i="16"/>
  <c r="T43" i="16" s="1"/>
  <c r="Y20" i="15"/>
  <c r="X30" i="16"/>
  <c r="Y26" i="16"/>
  <c r="Y27" i="16" s="1"/>
  <c r="X29" i="16"/>
  <c r="U36" i="16"/>
  <c r="U38" i="16" s="1"/>
  <c r="U34" i="16"/>
  <c r="U60" i="16" s="1"/>
  <c r="U50" i="16"/>
  <c r="S59" i="16"/>
  <c r="U14" i="16"/>
  <c r="U15" i="16"/>
  <c r="T17" i="16"/>
  <c r="T16" i="16" s="1"/>
  <c r="S45" i="16"/>
  <c r="P68" i="16"/>
  <c r="AJ42" i="16"/>
  <c r="U10" i="16"/>
  <c r="U18" i="16" s="1"/>
  <c r="U32" i="16"/>
  <c r="U58" i="16" s="1"/>
  <c r="T19" i="16"/>
  <c r="W13" i="15"/>
  <c r="V38" i="15"/>
  <c r="V36" i="15" s="1"/>
  <c r="V33" i="15" s="1"/>
  <c r="V13" i="16"/>
  <c r="V49" i="16"/>
  <c r="V9" i="16"/>
  <c r="V11" i="16"/>
  <c r="V35" i="16"/>
  <c r="V48" i="16" s="1"/>
  <c r="R82" i="16"/>
  <c r="R85" i="16" s="1"/>
  <c r="R71" i="16"/>
  <c r="T58" i="16"/>
  <c r="T38" i="16"/>
  <c r="T44" i="16" s="1"/>
  <c r="W26" i="15"/>
  <c r="W14" i="15"/>
  <c r="W12" i="15"/>
  <c r="X31" i="15"/>
  <c r="X30" i="15"/>
  <c r="X28" i="15"/>
  <c r="X27" i="15"/>
  <c r="X50" i="15"/>
  <c r="W35" i="15"/>
  <c r="W34" i="15" s="1"/>
  <c r="Y8" i="15"/>
  <c r="X11" i="15"/>
  <c r="Z55" i="15"/>
  <c r="V15" i="15"/>
  <c r="T39" i="15"/>
  <c r="AA7" i="15"/>
  <c r="Y6" i="15"/>
  <c r="X9" i="15"/>
  <c r="X10" i="15" s="1"/>
  <c r="W37" i="15"/>
  <c r="U42" i="15"/>
  <c r="U40" i="15"/>
  <c r="U41" i="15"/>
  <c r="V47" i="15"/>
  <c r="V45" i="15"/>
  <c r="V22" i="15"/>
  <c r="W12" i="16" s="1"/>
  <c r="W25" i="15" l="1"/>
  <c r="W62" i="16"/>
  <c r="AF46" i="16"/>
  <c r="AK46" i="16"/>
  <c r="AF43" i="16"/>
  <c r="AK43" i="16"/>
  <c r="S69" i="16"/>
  <c r="AF19" i="16"/>
  <c r="AK19" i="16"/>
  <c r="AK59" i="16"/>
  <c r="AF59" i="16"/>
  <c r="AF16" i="16"/>
  <c r="AK16" i="16"/>
  <c r="AF41" i="16"/>
  <c r="AK41" i="16"/>
  <c r="S42" i="16"/>
  <c r="AK45" i="16"/>
  <c r="AF45" i="16"/>
  <c r="U40" i="16"/>
  <c r="U39" i="16"/>
  <c r="V15" i="16"/>
  <c r="V14" i="16"/>
  <c r="T41" i="16"/>
  <c r="T46" i="16" s="1"/>
  <c r="X28" i="16"/>
  <c r="X61" i="16" s="1"/>
  <c r="W49" i="16"/>
  <c r="W9" i="16"/>
  <c r="W11" i="16"/>
  <c r="W13" i="16"/>
  <c r="W35" i="16"/>
  <c r="W48" i="16" s="1"/>
  <c r="X13" i="15"/>
  <c r="W38" i="15"/>
  <c r="W36" i="15" s="1"/>
  <c r="W33" i="15" s="1"/>
  <c r="U33" i="16"/>
  <c r="U59" i="16" s="1"/>
  <c r="U17" i="16"/>
  <c r="U16" i="16" s="1"/>
  <c r="U44" i="16"/>
  <c r="V50" i="16"/>
  <c r="V34" i="16"/>
  <c r="V60" i="16" s="1"/>
  <c r="V36" i="16"/>
  <c r="V38" i="16" s="1"/>
  <c r="U19" i="16"/>
  <c r="Z20" i="15"/>
  <c r="Z26" i="16"/>
  <c r="Z27" i="16" s="1"/>
  <c r="Y30" i="16"/>
  <c r="Y29" i="16"/>
  <c r="T40" i="16"/>
  <c r="T39" i="16"/>
  <c r="V10" i="16"/>
  <c r="V18" i="16" s="1"/>
  <c r="V32" i="16"/>
  <c r="V58" i="16" s="1"/>
  <c r="U37" i="16"/>
  <c r="U43" i="16" s="1"/>
  <c r="P71" i="16"/>
  <c r="P82" i="16"/>
  <c r="P85" i="16" s="1"/>
  <c r="X26" i="15"/>
  <c r="X14" i="15"/>
  <c r="X12" i="15"/>
  <c r="Y31" i="15"/>
  <c r="Y30" i="15"/>
  <c r="Y28" i="15"/>
  <c r="Y27" i="15"/>
  <c r="X29" i="15"/>
  <c r="W15" i="15"/>
  <c r="AB7" i="15"/>
  <c r="AA55" i="15"/>
  <c r="Y50" i="15"/>
  <c r="V42" i="15"/>
  <c r="V41" i="15"/>
  <c r="V40" i="15"/>
  <c r="X37" i="15"/>
  <c r="Z8" i="15"/>
  <c r="Y11" i="15"/>
  <c r="X35" i="15"/>
  <c r="X34" i="15" s="1"/>
  <c r="W47" i="15"/>
  <c r="W45" i="15"/>
  <c r="W22" i="15"/>
  <c r="X12" i="16" s="1"/>
  <c r="U39" i="15"/>
  <c r="Z6" i="15"/>
  <c r="Y9" i="15"/>
  <c r="Y10" i="15" s="1"/>
  <c r="V39" i="15" l="1"/>
  <c r="X62" i="16"/>
  <c r="Y28" i="16"/>
  <c r="Y61" i="16" s="1"/>
  <c r="S72" i="16"/>
  <c r="S83" i="16"/>
  <c r="S86" i="16" s="1"/>
  <c r="S68" i="16"/>
  <c r="AF42" i="16"/>
  <c r="AK42" i="16"/>
  <c r="U41" i="16"/>
  <c r="U46" i="16" s="1"/>
  <c r="V40" i="16"/>
  <c r="V39" i="16" s="1"/>
  <c r="AA20" i="15"/>
  <c r="AA26" i="16"/>
  <c r="AA27" i="16" s="1"/>
  <c r="Z30" i="16"/>
  <c r="Z29" i="16"/>
  <c r="W15" i="16"/>
  <c r="W14" i="16"/>
  <c r="V19" i="16"/>
  <c r="W10" i="16"/>
  <c r="W18" i="16" s="1"/>
  <c r="W32" i="16"/>
  <c r="W58" i="16" s="1"/>
  <c r="T45" i="16"/>
  <c r="T42" i="16" s="1"/>
  <c r="X13" i="16"/>
  <c r="X11" i="16"/>
  <c r="X9" i="16"/>
  <c r="X49" i="16"/>
  <c r="X35" i="16"/>
  <c r="X48" i="16" s="1"/>
  <c r="X25" i="15"/>
  <c r="X38" i="15"/>
  <c r="X36" i="15" s="1"/>
  <c r="X33" i="15" s="1"/>
  <c r="Y13" i="15"/>
  <c r="V37" i="16"/>
  <c r="V43" i="16" s="1"/>
  <c r="V17" i="16"/>
  <c r="V16" i="16" s="1"/>
  <c r="V44" i="16"/>
  <c r="V33" i="16"/>
  <c r="V59" i="16" s="1"/>
  <c r="W36" i="16"/>
  <c r="W38" i="16" s="1"/>
  <c r="W34" i="16"/>
  <c r="W60" i="16" s="1"/>
  <c r="W50" i="16"/>
  <c r="U45" i="16"/>
  <c r="Z31" i="15"/>
  <c r="Z30" i="15"/>
  <c r="Z28" i="15"/>
  <c r="Z27" i="15"/>
  <c r="Y14" i="15"/>
  <c r="Y12" i="15"/>
  <c r="X15" i="15"/>
  <c r="Y29" i="15"/>
  <c r="AB55" i="15"/>
  <c r="W42" i="15"/>
  <c r="W40" i="15"/>
  <c r="W41" i="15"/>
  <c r="X47" i="15"/>
  <c r="X45" i="15"/>
  <c r="X22" i="15"/>
  <c r="Y12" i="16" s="1"/>
  <c r="Y37" i="15"/>
  <c r="Y35" i="15"/>
  <c r="Y34" i="15" s="1"/>
  <c r="AC7" i="15"/>
  <c r="Z50" i="15"/>
  <c r="AA8" i="15"/>
  <c r="Z11" i="15"/>
  <c r="Z9" i="15"/>
  <c r="Z10" i="15" s="1"/>
  <c r="AA6" i="15"/>
  <c r="Y26" i="15"/>
  <c r="Y62" i="16" l="1"/>
  <c r="V41" i="16"/>
  <c r="V46" i="16" s="1"/>
  <c r="Z28" i="16"/>
  <c r="Z61" i="16" s="1"/>
  <c r="Z62" i="16" s="1"/>
  <c r="U42" i="16"/>
  <c r="S71" i="16"/>
  <c r="S82" i="16"/>
  <c r="S85" i="16" s="1"/>
  <c r="X15" i="16"/>
  <c r="X17" i="16" s="1"/>
  <c r="X16" i="16" s="1"/>
  <c r="X14" i="16"/>
  <c r="W17" i="16"/>
  <c r="W16" i="16" s="1"/>
  <c r="W44" i="16"/>
  <c r="W40" i="16"/>
  <c r="W37" i="16"/>
  <c r="W43" i="16" s="1"/>
  <c r="W33" i="16"/>
  <c r="W59" i="16" s="1"/>
  <c r="W19" i="16"/>
  <c r="X34" i="16"/>
  <c r="X60" i="16" s="1"/>
  <c r="X36" i="16"/>
  <c r="X38" i="16" s="1"/>
  <c r="X50" i="16"/>
  <c r="X10" i="16"/>
  <c r="X18" i="16" s="1"/>
  <c r="X32" i="16"/>
  <c r="X58" i="16" s="1"/>
  <c r="Y9" i="16"/>
  <c r="Y49" i="16"/>
  <c r="Y11" i="16"/>
  <c r="Y13" i="16"/>
  <c r="Y35" i="16"/>
  <c r="Y48" i="16" s="1"/>
  <c r="Z13" i="15"/>
  <c r="Y38" i="15"/>
  <c r="Y36" i="15" s="1"/>
  <c r="Y33" i="15" s="1"/>
  <c r="AB20" i="15"/>
  <c r="AA30" i="16"/>
  <c r="AB26" i="16"/>
  <c r="AB27" i="16" s="1"/>
  <c r="AA29" i="16"/>
  <c r="V45" i="16"/>
  <c r="AA31" i="15"/>
  <c r="AA30" i="15"/>
  <c r="AA28" i="15"/>
  <c r="AA27" i="15"/>
  <c r="Z14" i="15"/>
  <c r="Z12" i="15"/>
  <c r="Z26" i="15"/>
  <c r="Z29" i="15"/>
  <c r="Y25" i="15"/>
  <c r="AA9" i="15"/>
  <c r="AA10" i="15" s="1"/>
  <c r="AB6" i="15"/>
  <c r="X42" i="15"/>
  <c r="X40" i="15"/>
  <c r="X41" i="15"/>
  <c r="Z35" i="15"/>
  <c r="Z34" i="15" s="1"/>
  <c r="AD55" i="15"/>
  <c r="AC55" i="15"/>
  <c r="AD7" i="15"/>
  <c r="Z37" i="15"/>
  <c r="Y15" i="15"/>
  <c r="AA50" i="15"/>
  <c r="W39" i="15"/>
  <c r="AB8" i="15"/>
  <c r="AA11" i="15"/>
  <c r="Y47" i="15"/>
  <c r="Y45" i="15"/>
  <c r="Y22" i="15"/>
  <c r="Z12" i="16" s="1"/>
  <c r="V42" i="16" l="1"/>
  <c r="W41" i="16"/>
  <c r="W46" i="16" s="1"/>
  <c r="W45" i="16"/>
  <c r="Y10" i="16"/>
  <c r="Y18" i="16" s="1"/>
  <c r="Y32" i="16"/>
  <c r="Y58" i="16" s="1"/>
  <c r="W39" i="16"/>
  <c r="X19" i="16"/>
  <c r="Z38" i="15"/>
  <c r="Z36" i="15" s="1"/>
  <c r="Z33" i="15" s="1"/>
  <c r="AA13" i="15"/>
  <c r="Y36" i="16"/>
  <c r="Y34" i="16"/>
  <c r="Y60" i="16" s="1"/>
  <c r="Y50" i="16"/>
  <c r="X44" i="16"/>
  <c r="X40" i="16"/>
  <c r="X45" i="16" s="1"/>
  <c r="X39" i="16"/>
  <c r="X33" i="16"/>
  <c r="X59" i="16" s="1"/>
  <c r="Z13" i="16"/>
  <c r="Z49" i="16"/>
  <c r="Z9" i="16"/>
  <c r="Z11" i="16"/>
  <c r="Z35" i="16"/>
  <c r="Z48" i="16" s="1"/>
  <c r="AA28" i="16"/>
  <c r="AA61" i="16" s="1"/>
  <c r="AA62" i="16" s="1"/>
  <c r="Y15" i="16"/>
  <c r="Y14" i="16"/>
  <c r="AC20" i="15"/>
  <c r="AB30" i="16"/>
  <c r="AB29" i="16"/>
  <c r="AC26" i="16"/>
  <c r="AC27" i="16" s="1"/>
  <c r="X37" i="16"/>
  <c r="X43" i="16" s="1"/>
  <c r="AA12" i="15"/>
  <c r="AA14" i="15"/>
  <c r="AA15" i="15" s="1"/>
  <c r="AB28" i="15"/>
  <c r="AB27" i="15"/>
  <c r="AB31" i="15"/>
  <c r="AB30" i="15"/>
  <c r="Z25" i="15"/>
  <c r="Z15" i="15"/>
  <c r="AA29" i="15"/>
  <c r="X39" i="15"/>
  <c r="AC8" i="15"/>
  <c r="AB11" i="15"/>
  <c r="AA37" i="15"/>
  <c r="AB50" i="15"/>
  <c r="Y42" i="15"/>
  <c r="Y41" i="15"/>
  <c r="Y40" i="15"/>
  <c r="AA26" i="15"/>
  <c r="Z45" i="15"/>
  <c r="Z22" i="15"/>
  <c r="AA12" i="16" s="1"/>
  <c r="Z47" i="15"/>
  <c r="AB9" i="15"/>
  <c r="AB10" i="15" s="1"/>
  <c r="AC6" i="15"/>
  <c r="AA35" i="15"/>
  <c r="AA34" i="15" s="1"/>
  <c r="W42" i="16" l="1"/>
  <c r="Y19" i="16"/>
  <c r="X41" i="16"/>
  <c r="X46" i="16" s="1"/>
  <c r="X42" i="16" s="1"/>
  <c r="AB28" i="16"/>
  <c r="AB61" i="16" s="1"/>
  <c r="AB62" i="16" s="1"/>
  <c r="AC29" i="16"/>
  <c r="AC30" i="16"/>
  <c r="AD26" i="16"/>
  <c r="AD27" i="16" s="1"/>
  <c r="AD20" i="15"/>
  <c r="Y37" i="16"/>
  <c r="Y43" i="16" s="1"/>
  <c r="Z10" i="16"/>
  <c r="Z18" i="16" s="1"/>
  <c r="Z32" i="16"/>
  <c r="Z58" i="16" s="1"/>
  <c r="Z50" i="16"/>
  <c r="Z34" i="16"/>
  <c r="Z60" i="16" s="1"/>
  <c r="Z36" i="16"/>
  <c r="AA9" i="16"/>
  <c r="AA13" i="16"/>
  <c r="AA11" i="16"/>
  <c r="AA49" i="16"/>
  <c r="AA35" i="16"/>
  <c r="Y33" i="16"/>
  <c r="Y59" i="16" s="1"/>
  <c r="Z14" i="16"/>
  <c r="Z15" i="16"/>
  <c r="AA38" i="15"/>
  <c r="AA36" i="15" s="1"/>
  <c r="AA33" i="15" s="1"/>
  <c r="AB13" i="15"/>
  <c r="Y17" i="16"/>
  <c r="Y16" i="16" s="1"/>
  <c r="Y38" i="16"/>
  <c r="AC28" i="15"/>
  <c r="AC27" i="15"/>
  <c r="AC31" i="15"/>
  <c r="AC30" i="15"/>
  <c r="AB14" i="15"/>
  <c r="AB12" i="15"/>
  <c r="Y39" i="15"/>
  <c r="AA25" i="15"/>
  <c r="AB29" i="15"/>
  <c r="AC9" i="15"/>
  <c r="AC10" i="15" s="1"/>
  <c r="AD6" i="15"/>
  <c r="AB35" i="15"/>
  <c r="AB34" i="15" s="1"/>
  <c r="AB26" i="15"/>
  <c r="Z42" i="15"/>
  <c r="Z41" i="15"/>
  <c r="Z40" i="15"/>
  <c r="AB37" i="15"/>
  <c r="AD8" i="15"/>
  <c r="AC11" i="15"/>
  <c r="AA45" i="15"/>
  <c r="AA22" i="15"/>
  <c r="AB12" i="16" s="1"/>
  <c r="AA47" i="15"/>
  <c r="AC50" i="15"/>
  <c r="AD50" i="15"/>
  <c r="Z19" i="16" l="1"/>
  <c r="AA34" i="16"/>
  <c r="AA60" i="16" s="1"/>
  <c r="AA50" i="16"/>
  <c r="AA36" i="16"/>
  <c r="AA37" i="16" s="1"/>
  <c r="Z37" i="16"/>
  <c r="Z43" i="16" s="1"/>
  <c r="Y40" i="16"/>
  <c r="Y45" i="16" s="1"/>
  <c r="AC28" i="16"/>
  <c r="AC61" i="16" s="1"/>
  <c r="AC62" i="16" s="1"/>
  <c r="Y44" i="16"/>
  <c r="Y41" i="16"/>
  <c r="Y46" i="16" s="1"/>
  <c r="AA14" i="16"/>
  <c r="AA15" i="16"/>
  <c r="AA10" i="16"/>
  <c r="AA18" i="16" s="1"/>
  <c r="AA32" i="16"/>
  <c r="AA58" i="16" s="1"/>
  <c r="AC13" i="15"/>
  <c r="AB38" i="15"/>
  <c r="AB36" i="15" s="1"/>
  <c r="AB33" i="15" s="1"/>
  <c r="AB9" i="16"/>
  <c r="AB49" i="16"/>
  <c r="AB13" i="16"/>
  <c r="AB11" i="16"/>
  <c r="AB35" i="16"/>
  <c r="AB48" i="16" s="1"/>
  <c r="Z17" i="16"/>
  <c r="Z16" i="16" s="1"/>
  <c r="AA48" i="16"/>
  <c r="Z38" i="16"/>
  <c r="Z33" i="16"/>
  <c r="Z59" i="16" s="1"/>
  <c r="AD29" i="16"/>
  <c r="AE26" i="16"/>
  <c r="AD30" i="16"/>
  <c r="AC14" i="15"/>
  <c r="AC12" i="15"/>
  <c r="AD28" i="15"/>
  <c r="AD27" i="15"/>
  <c r="AD31" i="15"/>
  <c r="AD30" i="15"/>
  <c r="AB25" i="15"/>
  <c r="AC26" i="15"/>
  <c r="AB15" i="15"/>
  <c r="AC29" i="15"/>
  <c r="AA42" i="15"/>
  <c r="AA41" i="15"/>
  <c r="AA40" i="15"/>
  <c r="AB47" i="15"/>
  <c r="AB22" i="15"/>
  <c r="AC12" i="16" s="1"/>
  <c r="AB45" i="15"/>
  <c r="AC37" i="15"/>
  <c r="AD9" i="15"/>
  <c r="AD10" i="15" s="1"/>
  <c r="AD11" i="15"/>
  <c r="Z39" i="15"/>
  <c r="AC35" i="15"/>
  <c r="AC34" i="15" s="1"/>
  <c r="Z41" i="16" l="1"/>
  <c r="Z46" i="16" s="1"/>
  <c r="AA38" i="16"/>
  <c r="AA44" i="16" s="1"/>
  <c r="Y42" i="16"/>
  <c r="Y39" i="16"/>
  <c r="AC38" i="15"/>
  <c r="AC36" i="15" s="1"/>
  <c r="AC33" i="15" s="1"/>
  <c r="AD13" i="15"/>
  <c r="AD38" i="15" s="1"/>
  <c r="AD28" i="16"/>
  <c r="AB36" i="16"/>
  <c r="AB38" i="16" s="1"/>
  <c r="AB34" i="16"/>
  <c r="AB60" i="16" s="1"/>
  <c r="AB50" i="16"/>
  <c r="AA33" i="16"/>
  <c r="AA59" i="16" s="1"/>
  <c r="AE27" i="16"/>
  <c r="AB15" i="16"/>
  <c r="AB14" i="16"/>
  <c r="Z40" i="16"/>
  <c r="Z45" i="16" s="1"/>
  <c r="Z44" i="16"/>
  <c r="AB10" i="16"/>
  <c r="AB18" i="16" s="1"/>
  <c r="AB32" i="16"/>
  <c r="AB58" i="16" s="1"/>
  <c r="AA17" i="16"/>
  <c r="AA16" i="16" s="1"/>
  <c r="AC11" i="16"/>
  <c r="AC49" i="16"/>
  <c r="AC9" i="16"/>
  <c r="AC13" i="16"/>
  <c r="AC35" i="16"/>
  <c r="AC48" i="16" s="1"/>
  <c r="AA19" i="16"/>
  <c r="AA43" i="16"/>
  <c r="AD14" i="15"/>
  <c r="AD12" i="15"/>
  <c r="AD29" i="15"/>
  <c r="AC25" i="15"/>
  <c r="AD26" i="15"/>
  <c r="AD37" i="15"/>
  <c r="AC15" i="15"/>
  <c r="AB42" i="15"/>
  <c r="AB40" i="15"/>
  <c r="AB41" i="15"/>
  <c r="AD35" i="15"/>
  <c r="AD34" i="15" s="1"/>
  <c r="AA39" i="15"/>
  <c r="AC47" i="15"/>
  <c r="AC22" i="15"/>
  <c r="AD12" i="16" s="1"/>
  <c r="AC45" i="15"/>
  <c r="AA40" i="16" l="1"/>
  <c r="AA45" i="16" s="1"/>
  <c r="AD36" i="15"/>
  <c r="AD33" i="15" s="1"/>
  <c r="AA41" i="16"/>
  <c r="AA46" i="16" s="1"/>
  <c r="Z42" i="16"/>
  <c r="AB19" i="16"/>
  <c r="Z39" i="16"/>
  <c r="AD61" i="16"/>
  <c r="AC36" i="16"/>
  <c r="AC50" i="16"/>
  <c r="AC34" i="16"/>
  <c r="AC60" i="16" s="1"/>
  <c r="AB40" i="16"/>
  <c r="AB39" i="16" s="1"/>
  <c r="AB37" i="16"/>
  <c r="AB43" i="16" s="1"/>
  <c r="AC14" i="16"/>
  <c r="AC15" i="16"/>
  <c r="AB33" i="16"/>
  <c r="AB59" i="16" s="1"/>
  <c r="AD11" i="16"/>
  <c r="AD13" i="16"/>
  <c r="AD9" i="16"/>
  <c r="AD49" i="16"/>
  <c r="AD35" i="16"/>
  <c r="AD48" i="16" s="1"/>
  <c r="AB17" i="16"/>
  <c r="AB16" i="16" s="1"/>
  <c r="AB44" i="16"/>
  <c r="AC10" i="16"/>
  <c r="AC18" i="16" s="1"/>
  <c r="AC32" i="16"/>
  <c r="AC58" i="16" s="1"/>
  <c r="AA39" i="16"/>
  <c r="AD25" i="15"/>
  <c r="AB39" i="15"/>
  <c r="AC42" i="15"/>
  <c r="AC41" i="15"/>
  <c r="AC40" i="15"/>
  <c r="AD47" i="15"/>
  <c r="AD45" i="15"/>
  <c r="AD22" i="15"/>
  <c r="AE12" i="16" s="1"/>
  <c r="AD15" i="15"/>
  <c r="AC19" i="16" l="1"/>
  <c r="AA42" i="16"/>
  <c r="AB41" i="16"/>
  <c r="AB46" i="16" s="1"/>
  <c r="AC33" i="16"/>
  <c r="AC59" i="16" s="1"/>
  <c r="AC17" i="16"/>
  <c r="AC16" i="16" s="1"/>
  <c r="AB45" i="16"/>
  <c r="AD62" i="16"/>
  <c r="AE62" i="16" s="1"/>
  <c r="AC37" i="16"/>
  <c r="AC43" i="16" s="1"/>
  <c r="AL106" i="16"/>
  <c r="AE13" i="16"/>
  <c r="AE9" i="16"/>
  <c r="AE11" i="16"/>
  <c r="AE49" i="16"/>
  <c r="AE35" i="16"/>
  <c r="AE48" i="16" s="1"/>
  <c r="AD10" i="16"/>
  <c r="AD18" i="16" s="1"/>
  <c r="AD32" i="16"/>
  <c r="AD58" i="16" s="1"/>
  <c r="AC38" i="16"/>
  <c r="AC44" i="16" s="1"/>
  <c r="AD50" i="16"/>
  <c r="AD34" i="16"/>
  <c r="AD60" i="16" s="1"/>
  <c r="AD36" i="16"/>
  <c r="AD38" i="16" s="1"/>
  <c r="AD15" i="16"/>
  <c r="AD14" i="16"/>
  <c r="AC39" i="15"/>
  <c r="AD42" i="15"/>
  <c r="AD40" i="15"/>
  <c r="AD41" i="15"/>
  <c r="AB42" i="16" l="1"/>
  <c r="AC41" i="16"/>
  <c r="AC46" i="16" s="1"/>
  <c r="AC40" i="16"/>
  <c r="AC45" i="16" s="1"/>
  <c r="AD17" i="16"/>
  <c r="AD16" i="16" s="1"/>
  <c r="AD44" i="16"/>
  <c r="AD40" i="16"/>
  <c r="AD39" i="16" s="1"/>
  <c r="AN106" i="16"/>
  <c r="AD37" i="16"/>
  <c r="AD43" i="16" s="1"/>
  <c r="AE10" i="16"/>
  <c r="AE32" i="16"/>
  <c r="AD19" i="16"/>
  <c r="G14" i="19"/>
  <c r="AE50" i="16"/>
  <c r="AE36" i="16"/>
  <c r="AE34" i="16"/>
  <c r="AD33" i="16"/>
  <c r="AD59" i="16" s="1"/>
  <c r="AE15" i="16"/>
  <c r="AE14" i="16"/>
  <c r="G20" i="19"/>
  <c r="AD39" i="15"/>
  <c r="J10" i="2"/>
  <c r="O10" i="2"/>
  <c r="J11" i="2"/>
  <c r="O11" i="2"/>
  <c r="J12" i="2"/>
  <c r="O12" i="2"/>
  <c r="D20" i="11"/>
  <c r="E20" i="11"/>
  <c r="F20" i="11"/>
  <c r="G20" i="11"/>
  <c r="H20" i="11"/>
  <c r="I20" i="11"/>
  <c r="J20" i="11"/>
  <c r="K20" i="11"/>
  <c r="L20" i="11"/>
  <c r="M20" i="11"/>
  <c r="N20" i="11"/>
  <c r="O20" i="11"/>
  <c r="P20" i="11"/>
  <c r="Q20" i="11"/>
  <c r="C20" i="11"/>
  <c r="C16" i="13"/>
  <c r="AD41" i="16" l="1"/>
  <c r="AD46" i="16" s="1"/>
  <c r="AC42" i="16"/>
  <c r="AE33" i="16"/>
  <c r="AE60" i="16"/>
  <c r="AE17" i="16"/>
  <c r="AE18" i="16"/>
  <c r="AE19" i="16" s="1"/>
  <c r="AE38" i="16"/>
  <c r="AE44" i="16" s="1"/>
  <c r="AE37" i="16"/>
  <c r="AE43" i="16" s="1"/>
  <c r="AN107" i="16"/>
  <c r="AE58" i="16"/>
  <c r="AD45" i="16"/>
  <c r="AC39" i="16"/>
  <c r="C28" i="1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Q17" i="11"/>
  <c r="P17" i="11"/>
  <c r="O17" i="11"/>
  <c r="N17" i="11"/>
  <c r="M17" i="11"/>
  <c r="L17" i="11"/>
  <c r="K17" i="11"/>
  <c r="J17" i="11"/>
  <c r="I17" i="11"/>
  <c r="H17" i="11"/>
  <c r="G17" i="11"/>
  <c r="F17" i="11"/>
  <c r="E17" i="11"/>
  <c r="D17"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AD42" i="16" l="1"/>
  <c r="G17" i="19"/>
  <c r="G16" i="19"/>
  <c r="AL103" i="16"/>
  <c r="AL104" i="16"/>
  <c r="AN104" i="16"/>
  <c r="G22" i="19"/>
  <c r="AE59" i="16"/>
  <c r="AE40" i="16"/>
  <c r="AE16" i="16"/>
  <c r="AE41" i="16"/>
  <c r="AE46" i="16" s="1"/>
  <c r="D2" i="2"/>
  <c r="G18" i="19" l="1"/>
  <c r="AF69" i="16"/>
  <c r="AE39" i="16"/>
  <c r="AE45" i="16"/>
  <c r="G19" i="19"/>
  <c r="G21" i="19"/>
  <c r="B12" i="9"/>
  <c r="AE42" i="16" l="1"/>
  <c r="AF83" i="16"/>
  <c r="A116" i="5"/>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2" i="5"/>
  <c r="E82" i="5"/>
  <c r="F82" i="5"/>
  <c r="G82" i="5"/>
  <c r="H82" i="5"/>
  <c r="I82" i="5"/>
  <c r="J82" i="5"/>
  <c r="K82" i="5"/>
  <c r="D83" i="5"/>
  <c r="E83" i="5"/>
  <c r="F83" i="5"/>
  <c r="G83" i="5"/>
  <c r="H83" i="5"/>
  <c r="I83" i="5"/>
  <c r="J83" i="5"/>
  <c r="K83" i="5"/>
  <c r="D84" i="5"/>
  <c r="E84" i="5"/>
  <c r="F84" i="5"/>
  <c r="G84" i="5"/>
  <c r="H84" i="5"/>
  <c r="I84" i="5"/>
  <c r="J84" i="5"/>
  <c r="K84"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7" i="5"/>
  <c r="E107" i="5"/>
  <c r="F107" i="5"/>
  <c r="G107" i="5"/>
  <c r="H107" i="5"/>
  <c r="I107" i="5"/>
  <c r="J107" i="5"/>
  <c r="K107" i="5"/>
  <c r="D108" i="5"/>
  <c r="E108" i="5"/>
  <c r="F108" i="5"/>
  <c r="G108" i="5"/>
  <c r="H108" i="5"/>
  <c r="I108" i="5"/>
  <c r="J108" i="5"/>
  <c r="K108"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8" i="5"/>
  <c r="F8" i="5"/>
  <c r="G8" i="5"/>
  <c r="H8" i="5"/>
  <c r="I8" i="5"/>
  <c r="J8" i="5"/>
  <c r="K8" i="5"/>
  <c r="L8" i="5"/>
  <c r="M8" i="5"/>
  <c r="N8" i="5"/>
  <c r="O8" i="5"/>
  <c r="P8" i="5"/>
  <c r="Q8" i="5"/>
  <c r="R8" i="5"/>
  <c r="E11" i="5"/>
  <c r="F11" i="5"/>
  <c r="G11" i="5"/>
  <c r="H11" i="5"/>
  <c r="I11" i="5"/>
  <c r="J11" i="5"/>
  <c r="K11" i="5"/>
  <c r="L11" i="5"/>
  <c r="M11" i="5"/>
  <c r="N11" i="5"/>
  <c r="O11" i="5"/>
  <c r="P11" i="5"/>
  <c r="Q11" i="5"/>
  <c r="R11" i="5"/>
  <c r="E12" i="5"/>
  <c r="F12" i="5"/>
  <c r="G12" i="5"/>
  <c r="H12" i="5"/>
  <c r="I12" i="5"/>
  <c r="J12" i="5"/>
  <c r="K12" i="5"/>
  <c r="L12" i="5"/>
  <c r="M12" i="5"/>
  <c r="N12" i="5"/>
  <c r="O12" i="5"/>
  <c r="P12" i="5"/>
  <c r="Q12" i="5"/>
  <c r="R12"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I44" i="5"/>
  <c r="J44" i="5"/>
  <c r="K44" i="5"/>
  <c r="L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24" i="5"/>
  <c r="D23" i="5"/>
  <c r="D20" i="5"/>
  <c r="D19" i="5"/>
  <c r="D16" i="5"/>
  <c r="D15" i="5"/>
  <c r="D12" i="5"/>
  <c r="D11" i="5"/>
  <c r="D8" i="5"/>
  <c r="D7" i="5"/>
  <c r="A92" i="4"/>
  <c r="A116" i="4"/>
  <c r="A104" i="4"/>
  <c r="A94" i="4"/>
  <c r="A82" i="4"/>
  <c r="A58" i="4"/>
  <c r="E116" i="1"/>
  <c r="F116" i="1"/>
  <c r="G116" i="1"/>
  <c r="H116" i="1"/>
  <c r="I116" i="1"/>
  <c r="J116" i="1"/>
  <c r="K116" i="1"/>
  <c r="L116" i="1"/>
  <c r="E104" i="1"/>
  <c r="F104" i="1"/>
  <c r="G104" i="1"/>
  <c r="H104" i="1"/>
  <c r="I104" i="1"/>
  <c r="J104" i="1"/>
  <c r="K104" i="1"/>
  <c r="L104" i="1"/>
  <c r="E92" i="1"/>
  <c r="F92" i="1"/>
  <c r="G92" i="1"/>
  <c r="H92" i="1"/>
  <c r="I92" i="1"/>
  <c r="J92" i="1"/>
  <c r="K92" i="1"/>
  <c r="L92" i="1"/>
  <c r="E78" i="1"/>
  <c r="E79" i="1" s="1"/>
  <c r="F78" i="1"/>
  <c r="F79" i="1" s="1"/>
  <c r="G78" i="1"/>
  <c r="G79" i="1" s="1"/>
  <c r="H78" i="1"/>
  <c r="H79" i="1" s="1"/>
  <c r="I78" i="1"/>
  <c r="I79" i="1" s="1"/>
  <c r="J78" i="1"/>
  <c r="J79" i="1" s="1"/>
  <c r="K78" i="1"/>
  <c r="K79" i="1" s="1"/>
  <c r="L78" i="1"/>
  <c r="L79" i="1" s="1"/>
  <c r="M78" i="1"/>
  <c r="M79" i="1" s="1"/>
  <c r="E9" i="1"/>
  <c r="F9" i="1"/>
  <c r="G9" i="1"/>
  <c r="H9" i="1"/>
  <c r="I9" i="1"/>
  <c r="J9" i="1"/>
  <c r="K9" i="1"/>
  <c r="L9" i="1"/>
  <c r="E13" i="1"/>
  <c r="F13" i="1"/>
  <c r="G13" i="1"/>
  <c r="H13" i="1"/>
  <c r="I13" i="1"/>
  <c r="J13" i="1"/>
  <c r="K13" i="1"/>
  <c r="L13" i="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I45" i="1"/>
  <c r="J45" i="1"/>
  <c r="K45" i="1"/>
  <c r="L45" i="1"/>
  <c r="D3" i="1"/>
  <c r="A39" i="2"/>
  <c r="A37" i="2"/>
  <c r="A35" i="2"/>
  <c r="A30" i="2"/>
  <c r="B31" i="2"/>
  <c r="B32" i="2"/>
  <c r="B33" i="2"/>
  <c r="B34" i="2"/>
  <c r="B30" i="2"/>
  <c r="E53" i="1" l="1"/>
  <c r="D13" i="8" s="1"/>
  <c r="F53" i="1"/>
  <c r="E13" i="8" s="1"/>
  <c r="AN103" i="16"/>
  <c r="K53" i="1"/>
  <c r="J13" i="8" s="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I53" i="1"/>
  <c r="H13" i="8" s="1"/>
  <c r="L53" i="1"/>
  <c r="K13" i="8" s="1"/>
  <c r="H53" i="1"/>
  <c r="G13" i="8" s="1"/>
  <c r="J53" i="1"/>
  <c r="I13" i="8" s="1"/>
  <c r="G53" i="1"/>
  <c r="F13" i="8" s="1"/>
  <c r="G80" i="1"/>
  <c r="L80" i="1"/>
  <c r="L118" i="1" s="1"/>
  <c r="D3" i="5"/>
  <c r="E3" i="5" s="1"/>
  <c r="F3" i="5" s="1"/>
  <c r="G3" i="5" s="1"/>
  <c r="H3" i="5" s="1"/>
  <c r="I3" i="5" s="1"/>
  <c r="J3" i="5" s="1"/>
  <c r="K3" i="5" s="1"/>
  <c r="L3" i="5" s="1"/>
  <c r="E3" i="1"/>
  <c r="F3" i="1" s="1"/>
  <c r="G3" i="1" s="1"/>
  <c r="H3" i="1" s="1"/>
  <c r="I3" i="1" s="1"/>
  <c r="J3" i="1" s="1"/>
  <c r="K3" i="1" s="1"/>
  <c r="L3" i="1" s="1"/>
  <c r="M3" i="1" s="1"/>
  <c r="N3" i="1" s="1"/>
  <c r="O3" i="1" s="1"/>
  <c r="P3" i="1" s="1"/>
  <c r="Q3" i="1" s="1"/>
  <c r="R3" i="1" s="1"/>
  <c r="D3" i="4"/>
  <c r="K80" i="1"/>
  <c r="M80" i="1"/>
  <c r="I80" i="1"/>
  <c r="E80" i="1"/>
  <c r="R9" i="1"/>
  <c r="R13" i="1"/>
  <c r="R17" i="1"/>
  <c r="R21" i="1"/>
  <c r="R25" i="1"/>
  <c r="R29" i="1"/>
  <c r="R33" i="1"/>
  <c r="R37" i="1"/>
  <c r="R41" i="1"/>
  <c r="R45" i="1"/>
  <c r="R78" i="1"/>
  <c r="R79" i="1" s="1"/>
  <c r="R92" i="1"/>
  <c r="R104" i="1"/>
  <c r="R116" i="1"/>
  <c r="AF68" i="16" l="1"/>
  <c r="D3" i="11"/>
  <c r="E3" i="11" s="1"/>
  <c r="F3" i="11" s="1"/>
  <c r="G3" i="11" s="1"/>
  <c r="H3" i="11" s="1"/>
  <c r="I3" i="11" s="1"/>
  <c r="J3" i="11" s="1"/>
  <c r="K3" i="11" s="1"/>
  <c r="L3" i="11" s="1"/>
  <c r="M3" i="11" s="1"/>
  <c r="N3" i="11" s="1"/>
  <c r="O3" i="11" s="1"/>
  <c r="P3" i="11" s="1"/>
  <c r="Q3" i="11" s="1"/>
  <c r="S3" i="1"/>
  <c r="R80" i="1"/>
  <c r="R118" i="1" s="1"/>
  <c r="K118" i="1"/>
  <c r="E118" i="1"/>
  <c r="J80" i="1"/>
  <c r="G118" i="1"/>
  <c r="H80" i="1"/>
  <c r="R53" i="1"/>
  <c r="Q13" i="8" s="1"/>
  <c r="I118" i="1"/>
  <c r="F80" i="1"/>
  <c r="K26" i="8"/>
  <c r="L121" i="1"/>
  <c r="R58" i="5"/>
  <c r="R59" i="5"/>
  <c r="R60" i="5"/>
  <c r="R61" i="5"/>
  <c r="R62" i="5"/>
  <c r="R63" i="5"/>
  <c r="R64" i="5"/>
  <c r="R65" i="5"/>
  <c r="R66" i="5"/>
  <c r="R67" i="5"/>
  <c r="R68" i="5"/>
  <c r="R69" i="5"/>
  <c r="R70" i="5"/>
  <c r="R71" i="5"/>
  <c r="R72" i="5"/>
  <c r="R73" i="5"/>
  <c r="R74" i="5"/>
  <c r="R75" i="5"/>
  <c r="R76" i="5"/>
  <c r="R77" i="5"/>
  <c r="R82" i="5"/>
  <c r="R83" i="5"/>
  <c r="R84" i="5"/>
  <c r="R85" i="5"/>
  <c r="R86" i="5"/>
  <c r="R87" i="5"/>
  <c r="R88" i="5"/>
  <c r="R89" i="5"/>
  <c r="R90" i="5"/>
  <c r="R91" i="5"/>
  <c r="R94" i="5"/>
  <c r="R95" i="5"/>
  <c r="R96" i="5"/>
  <c r="R97" i="5"/>
  <c r="R98" i="5"/>
  <c r="R99" i="5"/>
  <c r="R100" i="5"/>
  <c r="R101" i="5"/>
  <c r="R102" i="5"/>
  <c r="R103" i="5"/>
  <c r="R106" i="5"/>
  <c r="R107" i="5"/>
  <c r="R108" i="5"/>
  <c r="R109" i="5"/>
  <c r="R110" i="5"/>
  <c r="R111" i="5"/>
  <c r="R112" i="5"/>
  <c r="R113" i="5"/>
  <c r="R114" i="5"/>
  <c r="R115" i="5"/>
  <c r="L58" i="5"/>
  <c r="M58" i="5"/>
  <c r="N58" i="5"/>
  <c r="O58" i="5"/>
  <c r="P58" i="5"/>
  <c r="Q58" i="5"/>
  <c r="L59" i="5"/>
  <c r="M59" i="5"/>
  <c r="N59" i="5"/>
  <c r="O59" i="5"/>
  <c r="P59" i="5"/>
  <c r="Q59" i="5"/>
  <c r="L60" i="5"/>
  <c r="M60" i="5"/>
  <c r="N60" i="5"/>
  <c r="O60" i="5"/>
  <c r="P60" i="5"/>
  <c r="Q60" i="5"/>
  <c r="L61" i="5"/>
  <c r="M61" i="5"/>
  <c r="N61" i="5"/>
  <c r="O61" i="5"/>
  <c r="P61" i="5"/>
  <c r="Q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2" i="5"/>
  <c r="M82" i="5"/>
  <c r="N82" i="5"/>
  <c r="O82" i="5"/>
  <c r="P82" i="5"/>
  <c r="Q82" i="5"/>
  <c r="L83" i="5"/>
  <c r="M83" i="5"/>
  <c r="N83" i="5"/>
  <c r="O83" i="5"/>
  <c r="P83" i="5"/>
  <c r="Q83" i="5"/>
  <c r="L84" i="5"/>
  <c r="M84" i="5"/>
  <c r="N84" i="5"/>
  <c r="O84" i="5"/>
  <c r="P84" i="5"/>
  <c r="Q84"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7" i="5"/>
  <c r="M107" i="5"/>
  <c r="N107" i="5"/>
  <c r="O107" i="5"/>
  <c r="P107" i="5"/>
  <c r="Q107" i="5"/>
  <c r="L108" i="5"/>
  <c r="M108" i="5"/>
  <c r="N108" i="5"/>
  <c r="O108" i="5"/>
  <c r="P108" i="5"/>
  <c r="Q108"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AF82" i="16" l="1"/>
  <c r="Q53" i="4"/>
  <c r="J118" i="1"/>
  <c r="H26" i="8"/>
  <c r="I121" i="1"/>
  <c r="F26" i="8"/>
  <c r="G121" i="1"/>
  <c r="D26" i="8"/>
  <c r="E121" i="1"/>
  <c r="J26" i="8"/>
  <c r="K121" i="1"/>
  <c r="F118" i="1"/>
  <c r="H118" i="1"/>
  <c r="R121" i="1"/>
  <c r="Q26" i="8"/>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I26" i="8" l="1"/>
  <c r="J121" i="1"/>
  <c r="E26" i="8"/>
  <c r="F121" i="1"/>
  <c r="G26" i="8"/>
  <c r="H121" i="1"/>
  <c r="D24" i="2"/>
  <c r="J39" i="2"/>
  <c r="J37" i="2"/>
  <c r="I35" i="2"/>
  <c r="I41" i="2" s="1"/>
  <c r="H35" i="2"/>
  <c r="H41" i="2" s="1"/>
  <c r="G35" i="2"/>
  <c r="G41" i="2" s="1"/>
  <c r="F35" i="2"/>
  <c r="F41" i="2" s="1"/>
  <c r="E35" i="2"/>
  <c r="E41" i="2" s="1"/>
  <c r="F66" i="16"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F80" i="16" l="1"/>
  <c r="AF66" i="16"/>
  <c r="F71" i="16"/>
  <c r="F72" i="16"/>
  <c r="E25" i="8"/>
  <c r="E47" i="11"/>
  <c r="H25" i="8"/>
  <c r="H47" i="11"/>
  <c r="C25" i="8"/>
  <c r="C47" i="11"/>
  <c r="F25" i="8"/>
  <c r="F47" i="11"/>
  <c r="J41" i="2"/>
  <c r="C16" i="7" s="1"/>
  <c r="H44" i="2"/>
  <c r="G25" i="8"/>
  <c r="I44" i="2"/>
  <c r="G44" i="2"/>
  <c r="E44" i="2"/>
  <c r="D25" i="8"/>
  <c r="F44" i="2"/>
  <c r="J19" i="2"/>
  <c r="D44" i="2"/>
  <c r="J35" i="2"/>
  <c r="J4" i="2"/>
  <c r="O15" i="2"/>
  <c r="J15" i="2"/>
  <c r="O17" i="2"/>
  <c r="O8" i="2"/>
  <c r="O6" i="2"/>
  <c r="C6" i="7"/>
  <c r="F75" i="16" l="1"/>
  <c r="G75" i="16" s="1"/>
  <c r="H75" i="16" s="1"/>
  <c r="I75" i="16" s="1"/>
  <c r="J75" i="16" s="1"/>
  <c r="K75" i="16" s="1"/>
  <c r="L75" i="16" s="1"/>
  <c r="M75" i="16" s="1"/>
  <c r="N75" i="16" s="1"/>
  <c r="O75" i="16" s="1"/>
  <c r="P75" i="16" s="1"/>
  <c r="Q75" i="16" s="1"/>
  <c r="R75" i="16" s="1"/>
  <c r="S75" i="16" s="1"/>
  <c r="AF72" i="16"/>
  <c r="AF75" i="16" s="1"/>
  <c r="D96" i="16"/>
  <c r="F74" i="16"/>
  <c r="G74" i="16" s="1"/>
  <c r="H74" i="16" s="1"/>
  <c r="I74" i="16" s="1"/>
  <c r="J74" i="16" s="1"/>
  <c r="K74" i="16" s="1"/>
  <c r="L74" i="16" s="1"/>
  <c r="M74" i="16" s="1"/>
  <c r="N74" i="16" s="1"/>
  <c r="O74" i="16" s="1"/>
  <c r="P74" i="16" s="1"/>
  <c r="Q74" i="16" s="1"/>
  <c r="R74" i="16" s="1"/>
  <c r="S74" i="16" s="1"/>
  <c r="F96" i="16"/>
  <c r="AF71" i="16"/>
  <c r="AF74" i="16" s="1"/>
  <c r="F86" i="16"/>
  <c r="F85" i="16"/>
  <c r="AF80" i="16"/>
  <c r="K41" i="2"/>
  <c r="C9" i="7"/>
  <c r="O19" i="2"/>
  <c r="O21" i="2" s="1"/>
  <c r="R3" i="13" s="1"/>
  <c r="K100" i="16" l="1"/>
  <c r="D7" i="19"/>
  <c r="J94" i="16"/>
  <c r="I5" i="19" s="1"/>
  <c r="J100" i="16"/>
  <c r="I94" i="16"/>
  <c r="H5" i="19" s="1"/>
  <c r="F88" i="16"/>
  <c r="AF85" i="16"/>
  <c r="F89" i="16"/>
  <c r="AF86" i="16"/>
  <c r="D95" i="16"/>
  <c r="F95" i="16"/>
  <c r="D6" i="19" s="1"/>
  <c r="D33" i="8"/>
  <c r="J17" i="2"/>
  <c r="J6" i="2"/>
  <c r="E2" i="2"/>
  <c r="F2" i="2" s="1"/>
  <c r="G2" i="2" s="1"/>
  <c r="H2" i="2" s="1"/>
  <c r="I2" i="2" s="1"/>
  <c r="G89" i="16" l="1"/>
  <c r="H89" i="16" s="1"/>
  <c r="I89" i="16" s="1"/>
  <c r="J89" i="16" s="1"/>
  <c r="K89" i="16" s="1"/>
  <c r="L89" i="16" s="1"/>
  <c r="M89" i="16" s="1"/>
  <c r="N89" i="16" s="1"/>
  <c r="O89" i="16" s="1"/>
  <c r="P89" i="16" s="1"/>
  <c r="Q89" i="16" s="1"/>
  <c r="R89" i="16" s="1"/>
  <c r="S89" i="16" s="1"/>
  <c r="D97" i="16"/>
  <c r="G88" i="16"/>
  <c r="H88" i="16" s="1"/>
  <c r="I88" i="16" s="1"/>
  <c r="J88" i="16" s="1"/>
  <c r="K88" i="16" s="1"/>
  <c r="L88" i="16" s="1"/>
  <c r="M88" i="16" s="1"/>
  <c r="N88" i="16" s="1"/>
  <c r="O88" i="16" s="1"/>
  <c r="P88" i="16" s="1"/>
  <c r="Q88" i="16" s="1"/>
  <c r="R88" i="16" s="1"/>
  <c r="S88" i="16" s="1"/>
  <c r="F97" i="16"/>
  <c r="D8" i="19" s="1"/>
  <c r="AF88" i="16"/>
  <c r="F94" i="16" s="1"/>
  <c r="D5" i="19" s="1"/>
  <c r="C43" i="4"/>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1" i="5"/>
  <c r="A7"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A11" i="4"/>
  <c r="B7" i="4"/>
  <c r="A7" i="4"/>
  <c r="R116" i="4"/>
  <c r="P116" i="4"/>
  <c r="O116" i="4"/>
  <c r="N116" i="4"/>
  <c r="M116" i="4"/>
  <c r="L116" i="4"/>
  <c r="K116" i="4"/>
  <c r="K116" i="5" s="1"/>
  <c r="J116" i="4"/>
  <c r="J116" i="5" s="1"/>
  <c r="I116" i="4"/>
  <c r="I116" i="5" s="1"/>
  <c r="H116" i="4"/>
  <c r="H116" i="5" s="1"/>
  <c r="G116" i="4"/>
  <c r="G116" i="5" s="1"/>
  <c r="F116" i="4"/>
  <c r="F116" i="5" s="1"/>
  <c r="E116" i="4"/>
  <c r="E116" i="5" s="1"/>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K92" i="5" s="1"/>
  <c r="J92" i="4"/>
  <c r="J92" i="5" s="1"/>
  <c r="I92" i="4"/>
  <c r="I92" i="5" s="1"/>
  <c r="H92" i="4"/>
  <c r="H92" i="5" s="1"/>
  <c r="G92" i="4"/>
  <c r="G92" i="5" s="1"/>
  <c r="F92" i="4"/>
  <c r="F92" i="5" s="1"/>
  <c r="E92" i="4"/>
  <c r="E92" i="5" s="1"/>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L45" i="5" s="1"/>
  <c r="K45" i="4"/>
  <c r="K45" i="5" s="1"/>
  <c r="J45" i="4"/>
  <c r="J45" i="5" s="1"/>
  <c r="I45" i="4"/>
  <c r="I45" i="5" s="1"/>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R13" i="5" s="1"/>
  <c r="P13" i="4"/>
  <c r="O13" i="4"/>
  <c r="N13" i="4"/>
  <c r="M13" i="4"/>
  <c r="L13" i="4"/>
  <c r="L13" i="5" s="1"/>
  <c r="K13" i="4"/>
  <c r="K13" i="5" s="1"/>
  <c r="J13" i="4"/>
  <c r="J13" i="5" s="1"/>
  <c r="I13" i="4"/>
  <c r="I13" i="5" s="1"/>
  <c r="H13" i="4"/>
  <c r="H13" i="5" s="1"/>
  <c r="G13" i="4"/>
  <c r="G13" i="5" s="1"/>
  <c r="F13" i="4"/>
  <c r="F13" i="5" s="1"/>
  <c r="E13" i="4"/>
  <c r="E13" i="5" s="1"/>
  <c r="D13" i="4"/>
  <c r="R9" i="4"/>
  <c r="R9" i="5" s="1"/>
  <c r="P9" i="4"/>
  <c r="O9" i="4"/>
  <c r="N9" i="4"/>
  <c r="M9" i="4"/>
  <c r="L9" i="4"/>
  <c r="L9" i="5" s="1"/>
  <c r="K9" i="4"/>
  <c r="K9" i="5" s="1"/>
  <c r="J9" i="4"/>
  <c r="J9" i="5" s="1"/>
  <c r="I9" i="4"/>
  <c r="I9" i="5" s="1"/>
  <c r="H9" i="4"/>
  <c r="H9" i="5" s="1"/>
  <c r="G9" i="4"/>
  <c r="G9" i="5" s="1"/>
  <c r="F9" i="4"/>
  <c r="F9" i="5" s="1"/>
  <c r="E9" i="4"/>
  <c r="E9" i="5" s="1"/>
  <c r="D9" i="4"/>
  <c r="AF89" i="16" l="1"/>
  <c r="D94" i="16" s="1"/>
  <c r="G53" i="5"/>
  <c r="F39" i="11" s="1"/>
  <c r="F41" i="11" s="1"/>
  <c r="K53" i="5"/>
  <c r="J39" i="11" s="1"/>
  <c r="J41" i="11" s="1"/>
  <c r="F53" i="5"/>
  <c r="E7" i="11" s="1"/>
  <c r="E11" i="11" s="1"/>
  <c r="H53" i="5"/>
  <c r="G7" i="11" s="1"/>
  <c r="G11" i="11" s="1"/>
  <c r="E53" i="5"/>
  <c r="D39" i="11" s="1"/>
  <c r="D41" i="11" s="1"/>
  <c r="I53" i="5"/>
  <c r="H39" i="11" s="1"/>
  <c r="H41" i="11" s="1"/>
  <c r="R53" i="5"/>
  <c r="Q39" i="11" s="1"/>
  <c r="Q41" i="11" s="1"/>
  <c r="E78" i="5"/>
  <c r="E79" i="4"/>
  <c r="E79" i="5" s="1"/>
  <c r="I78" i="5"/>
  <c r="I79" i="4"/>
  <c r="I79" i="5" s="1"/>
  <c r="F78" i="5"/>
  <c r="F79" i="4"/>
  <c r="F79" i="5" s="1"/>
  <c r="J78" i="5"/>
  <c r="J79" i="4"/>
  <c r="J79" i="5" s="1"/>
  <c r="G78" i="5"/>
  <c r="G79" i="4"/>
  <c r="G79" i="5" s="1"/>
  <c r="K78" i="5"/>
  <c r="K79" i="4"/>
  <c r="H78" i="5"/>
  <c r="H79" i="4"/>
  <c r="H79" i="5" s="1"/>
  <c r="L53" i="5"/>
  <c r="J53" i="5"/>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78" i="1"/>
  <c r="D116" i="1"/>
  <c r="D116" i="5" s="1"/>
  <c r="L116" i="5"/>
  <c r="M116" i="1"/>
  <c r="M116" i="5" s="1"/>
  <c r="N116" i="1"/>
  <c r="N116" i="5" s="1"/>
  <c r="O116" i="1"/>
  <c r="O116" i="5" s="1"/>
  <c r="P116" i="1"/>
  <c r="P116" i="5" s="1"/>
  <c r="Q116" i="1"/>
  <c r="Q116" i="5" s="1"/>
  <c r="R116" i="5"/>
  <c r="D104" i="1"/>
  <c r="D104" i="5" s="1"/>
  <c r="L104" i="5"/>
  <c r="M104" i="1"/>
  <c r="M104" i="5" s="1"/>
  <c r="N104" i="1"/>
  <c r="N104" i="5" s="1"/>
  <c r="O104" i="1"/>
  <c r="O104" i="5" s="1"/>
  <c r="P104" i="1"/>
  <c r="P104" i="5" s="1"/>
  <c r="Q104" i="1"/>
  <c r="Q104" i="5" s="1"/>
  <c r="R104" i="5"/>
  <c r="D92" i="1"/>
  <c r="L92" i="5"/>
  <c r="M92" i="1"/>
  <c r="M92" i="5" s="1"/>
  <c r="N92" i="1"/>
  <c r="N92" i="5" s="1"/>
  <c r="O92" i="1"/>
  <c r="O92" i="5" s="1"/>
  <c r="P92" i="1"/>
  <c r="P92" i="5" s="1"/>
  <c r="Q92" i="1"/>
  <c r="Q92" i="5" s="1"/>
  <c r="R92" i="5"/>
  <c r="L78" i="5"/>
  <c r="M78" i="5"/>
  <c r="N78" i="1"/>
  <c r="N79" i="1" s="1"/>
  <c r="O78" i="1"/>
  <c r="O79" i="1" s="1"/>
  <c r="P78" i="1"/>
  <c r="P79" i="1" s="1"/>
  <c r="Q78" i="1"/>
  <c r="Q79" i="1" s="1"/>
  <c r="R78" i="5"/>
  <c r="M79" i="5"/>
  <c r="D45" i="1"/>
  <c r="D45" i="5" s="1"/>
  <c r="M45" i="1"/>
  <c r="M45" i="5" s="1"/>
  <c r="N45" i="1"/>
  <c r="N45" i="5" s="1"/>
  <c r="O45" i="1"/>
  <c r="O45" i="5" s="1"/>
  <c r="P45" i="1"/>
  <c r="P45" i="5" s="1"/>
  <c r="Q45" i="1"/>
  <c r="Q45" i="5" s="1"/>
  <c r="D13" i="1"/>
  <c r="D13" i="5" s="1"/>
  <c r="M13" i="1"/>
  <c r="M13" i="5" s="1"/>
  <c r="N13" i="1"/>
  <c r="N13" i="5" s="1"/>
  <c r="O13" i="1"/>
  <c r="O13" i="5" s="1"/>
  <c r="P13" i="1"/>
  <c r="P13" i="5" s="1"/>
  <c r="Q13" i="1"/>
  <c r="Q13"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F7" i="11" l="1"/>
  <c r="F11" i="11" s="1"/>
  <c r="D92" i="5"/>
  <c r="D47" i="5"/>
  <c r="E39" i="11"/>
  <c r="E41" i="11" s="1"/>
  <c r="F55" i="5"/>
  <c r="K55" i="5"/>
  <c r="G55" i="5"/>
  <c r="J7" i="11"/>
  <c r="J11" i="11" s="1"/>
  <c r="G39" i="11"/>
  <c r="G41" i="11" s="1"/>
  <c r="H55" i="5"/>
  <c r="I55" i="5"/>
  <c r="H7" i="11"/>
  <c r="H11" i="11" s="1"/>
  <c r="D7" i="11"/>
  <c r="D11" i="11" s="1"/>
  <c r="E55" i="5"/>
  <c r="Q7" i="11"/>
  <c r="R55" i="5"/>
  <c r="I39" i="11"/>
  <c r="I41" i="11" s="1"/>
  <c r="I7" i="11"/>
  <c r="I11" i="11" s="1"/>
  <c r="K39" i="11"/>
  <c r="K41" i="11" s="1"/>
  <c r="K7" i="11"/>
  <c r="K11" i="11" s="1"/>
  <c r="D78" i="5"/>
  <c r="D79" i="1"/>
  <c r="D79" i="5" s="1"/>
  <c r="L55" i="5"/>
  <c r="Q78" i="5"/>
  <c r="Q79" i="5"/>
  <c r="N78" i="5"/>
  <c r="N79" i="5"/>
  <c r="P78" i="5"/>
  <c r="P80" i="1"/>
  <c r="P80" i="5" s="1"/>
  <c r="P118" i="5" s="1"/>
  <c r="O78" i="5"/>
  <c r="O79" i="5"/>
  <c r="P121" i="4"/>
  <c r="N121" i="4"/>
  <c r="R79" i="5"/>
  <c r="L121" i="4"/>
  <c r="K80" i="4"/>
  <c r="K79" i="5"/>
  <c r="J55" i="5"/>
  <c r="L79" i="5"/>
  <c r="J80" i="4"/>
  <c r="J80" i="5" s="1"/>
  <c r="J118" i="5" s="1"/>
  <c r="F80" i="4"/>
  <c r="I80" i="4"/>
  <c r="I80" i="5" s="1"/>
  <c r="I118" i="5" s="1"/>
  <c r="E80" i="4"/>
  <c r="E80" i="5" s="1"/>
  <c r="E118" i="5" s="1"/>
  <c r="H80" i="4"/>
  <c r="H80" i="5" s="1"/>
  <c r="H118" i="5" s="1"/>
  <c r="D80" i="4"/>
  <c r="D118" i="4" s="1"/>
  <c r="D121" i="4" s="1"/>
  <c r="D124" i="4" s="1"/>
  <c r="G80" i="4"/>
  <c r="G80" i="5" s="1"/>
  <c r="G118"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L118" i="5" s="1"/>
  <c r="R80" i="5"/>
  <c r="R118" i="5" s="1"/>
  <c r="M80" i="5"/>
  <c r="M118" i="5" s="1"/>
  <c r="D9" i="1"/>
  <c r="D9" i="5" s="1"/>
  <c r="M9" i="1"/>
  <c r="M9" i="5" s="1"/>
  <c r="M53" i="5" s="1"/>
  <c r="N9" i="1"/>
  <c r="N9" i="5" s="1"/>
  <c r="N53" i="5" s="1"/>
  <c r="O9" i="1"/>
  <c r="O9" i="5" s="1"/>
  <c r="O53" i="5" s="1"/>
  <c r="P9" i="1"/>
  <c r="P9" i="5" s="1"/>
  <c r="P53" i="5" s="1"/>
  <c r="Q9" i="1"/>
  <c r="Q9" i="5" s="1"/>
  <c r="Q53" i="5" s="1"/>
  <c r="O80" i="1" l="1"/>
  <c r="O80" i="5" s="1"/>
  <c r="O118" i="5" s="1"/>
  <c r="N46" i="11" s="1"/>
  <c r="N50" i="11" s="1"/>
  <c r="N39" i="11"/>
  <c r="N41" i="11" s="1"/>
  <c r="N7" i="11"/>
  <c r="N11" i="11" s="1"/>
  <c r="M39" i="11"/>
  <c r="M41" i="11" s="1"/>
  <c r="M7" i="11"/>
  <c r="M11" i="11" s="1"/>
  <c r="L39" i="11"/>
  <c r="L41" i="11" s="1"/>
  <c r="L7" i="11"/>
  <c r="L11" i="11" s="1"/>
  <c r="P39" i="11"/>
  <c r="P41" i="11" s="1"/>
  <c r="P7" i="11"/>
  <c r="P11" i="11" s="1"/>
  <c r="O39" i="11"/>
  <c r="O41" i="11" s="1"/>
  <c r="O7" i="11"/>
  <c r="O11" i="11" s="1"/>
  <c r="Q46" i="11"/>
  <c r="Q16" i="11"/>
  <c r="Q22" i="11" s="1"/>
  <c r="H16" i="11"/>
  <c r="H22" i="11" s="1"/>
  <c r="H25" i="11" s="1"/>
  <c r="H46" i="11"/>
  <c r="H50" i="11" s="1"/>
  <c r="H53" i="11" s="1"/>
  <c r="K16" i="11"/>
  <c r="K22" i="11" s="1"/>
  <c r="K25" i="11" s="1"/>
  <c r="K46" i="11"/>
  <c r="K50" i="11" s="1"/>
  <c r="K53" i="11" s="1"/>
  <c r="L16" i="11"/>
  <c r="L22" i="11" s="1"/>
  <c r="L46" i="11"/>
  <c r="L50" i="11" s="1"/>
  <c r="G16" i="11"/>
  <c r="G22" i="11" s="1"/>
  <c r="G25" i="11" s="1"/>
  <c r="G46" i="11"/>
  <c r="G50" i="11" s="1"/>
  <c r="G53" i="11" s="1"/>
  <c r="J121" i="5"/>
  <c r="I46" i="11"/>
  <c r="I50" i="11" s="1"/>
  <c r="I53" i="11" s="1"/>
  <c r="I16" i="11"/>
  <c r="I22" i="11" s="1"/>
  <c r="I25" i="11" s="1"/>
  <c r="D16" i="11"/>
  <c r="D22" i="11" s="1"/>
  <c r="D25" i="11" s="1"/>
  <c r="D46" i="11"/>
  <c r="D50" i="11" s="1"/>
  <c r="D53" i="11" s="1"/>
  <c r="F46" i="11"/>
  <c r="F50" i="11" s="1"/>
  <c r="F53" i="11" s="1"/>
  <c r="F16" i="11"/>
  <c r="F22" i="11" s="1"/>
  <c r="F25" i="11" s="1"/>
  <c r="O16" i="11"/>
  <c r="O22" i="11" s="1"/>
  <c r="O46" i="11"/>
  <c r="O50" i="11" s="1"/>
  <c r="P79" i="5"/>
  <c r="N80" i="1"/>
  <c r="N80" i="5" s="1"/>
  <c r="N118" i="5" s="1"/>
  <c r="Q80" i="1"/>
  <c r="Q80" i="5" s="1"/>
  <c r="Q118" i="5" s="1"/>
  <c r="F118" i="4"/>
  <c r="F121" i="4" s="1"/>
  <c r="F80" i="5"/>
  <c r="F118" i="5" s="1"/>
  <c r="H121" i="5"/>
  <c r="K118" i="4"/>
  <c r="K121" i="4" s="1"/>
  <c r="K80" i="5"/>
  <c r="K118" i="5" s="1"/>
  <c r="E121" i="5"/>
  <c r="G121" i="5"/>
  <c r="I121" i="5"/>
  <c r="R121" i="5"/>
  <c r="Q11" i="13" s="1"/>
  <c r="M121" i="5"/>
  <c r="D53" i="5"/>
  <c r="P121" i="5"/>
  <c r="L121" i="5"/>
  <c r="G118" i="4"/>
  <c r="G121" i="4" s="1"/>
  <c r="H118" i="4"/>
  <c r="H121" i="4" s="1"/>
  <c r="E118" i="4"/>
  <c r="E121" i="4" s="1"/>
  <c r="E124" i="4" s="1"/>
  <c r="I118" i="4"/>
  <c r="I121" i="4" s="1"/>
  <c r="J118" i="4"/>
  <c r="J121" i="4" s="1"/>
  <c r="Q53" i="1"/>
  <c r="P13" i="8" s="1"/>
  <c r="P53" i="1"/>
  <c r="O13" i="8" s="1"/>
  <c r="N53" i="1"/>
  <c r="M13" i="8" s="1"/>
  <c r="Q20" i="8"/>
  <c r="O53" i="1"/>
  <c r="N13" i="8" s="1"/>
  <c r="M53" i="1"/>
  <c r="L13" i="8" s="1"/>
  <c r="D53" i="1"/>
  <c r="C13" i="8" s="1"/>
  <c r="D80" i="1"/>
  <c r="D80" i="5" s="1"/>
  <c r="D118" i="5" s="1"/>
  <c r="M118" i="1"/>
  <c r="L26" i="8" s="1"/>
  <c r="P118" i="1"/>
  <c r="O26" i="8" s="1"/>
  <c r="L25" i="11" l="1"/>
  <c r="O53" i="11"/>
  <c r="F124" i="4"/>
  <c r="O25" i="11"/>
  <c r="N53" i="11"/>
  <c r="O121" i="5"/>
  <c r="N16" i="11"/>
  <c r="N22" i="11" s="1"/>
  <c r="N25" i="11" s="1"/>
  <c r="O118" i="1"/>
  <c r="N26" i="8" s="1"/>
  <c r="N33" i="8" s="1"/>
  <c r="L53" i="11"/>
  <c r="C39" i="11"/>
  <c r="C41" i="11" s="1"/>
  <c r="C7" i="11"/>
  <c r="C11" i="11" s="1"/>
  <c r="G124" i="4"/>
  <c r="H124" i="4" s="1"/>
  <c r="I124" i="4" s="1"/>
  <c r="J124" i="4" s="1"/>
  <c r="K124" i="4" s="1"/>
  <c r="L124" i="4" s="1"/>
  <c r="M124" i="4" s="1"/>
  <c r="N124" i="4" s="1"/>
  <c r="O124" i="4" s="1"/>
  <c r="P124" i="4" s="1"/>
  <c r="Q124" i="4" s="1"/>
  <c r="R124" i="4" s="1"/>
  <c r="J123" i="5"/>
  <c r="C46" i="11"/>
  <c r="C50" i="11" s="1"/>
  <c r="C16" i="11"/>
  <c r="C22" i="11" s="1"/>
  <c r="M46" i="11"/>
  <c r="M50" i="11" s="1"/>
  <c r="M53" i="11" s="1"/>
  <c r="M16" i="11"/>
  <c r="M22" i="11" s="1"/>
  <c r="M25" i="11" s="1"/>
  <c r="N118" i="1"/>
  <c r="M26" i="8" s="1"/>
  <c r="M33" i="8" s="1"/>
  <c r="N121" i="5"/>
  <c r="E46" i="11"/>
  <c r="E50" i="11" s="1"/>
  <c r="E53" i="11" s="1"/>
  <c r="E16" i="11"/>
  <c r="E22" i="11" s="1"/>
  <c r="E25" i="11" s="1"/>
  <c r="J46" i="11"/>
  <c r="J50" i="11" s="1"/>
  <c r="J53" i="11" s="1"/>
  <c r="J16" i="11"/>
  <c r="J22" i="11" s="1"/>
  <c r="J25" i="11" s="1"/>
  <c r="Q121" i="5"/>
  <c r="P16" i="11"/>
  <c r="P22" i="11" s="1"/>
  <c r="P25" i="11" s="1"/>
  <c r="P46" i="11"/>
  <c r="P50" i="11" s="1"/>
  <c r="P53" i="11" s="1"/>
  <c r="J120" i="5"/>
  <c r="E123" i="5"/>
  <c r="E120" i="5"/>
  <c r="N55" i="5"/>
  <c r="I120" i="5"/>
  <c r="Q118" i="1"/>
  <c r="P26" i="8" s="1"/>
  <c r="P33" i="8" s="1"/>
  <c r="G120" i="5"/>
  <c r="K120" i="5"/>
  <c r="K121" i="5"/>
  <c r="K123" i="5" s="1"/>
  <c r="H120" i="5"/>
  <c r="F120" i="5"/>
  <c r="F121" i="5"/>
  <c r="F123" i="5" s="1"/>
  <c r="Q55" i="5"/>
  <c r="D55" i="5"/>
  <c r="D121" i="5"/>
  <c r="D125" i="5" s="1"/>
  <c r="E125" i="5" s="1"/>
  <c r="I123" i="5"/>
  <c r="M55" i="5"/>
  <c r="O55" i="5"/>
  <c r="G123" i="5"/>
  <c r="H123" i="5"/>
  <c r="P55" i="5"/>
  <c r="H33" i="8"/>
  <c r="K33" i="8"/>
  <c r="Q33" i="8"/>
  <c r="Q36" i="8" s="1"/>
  <c r="O33" i="8"/>
  <c r="M20" i="8"/>
  <c r="L20" i="8"/>
  <c r="M120" i="5"/>
  <c r="L120" i="5"/>
  <c r="H20" i="8"/>
  <c r="K20" i="8"/>
  <c r="O20" i="8"/>
  <c r="N20" i="8"/>
  <c r="P20" i="8"/>
  <c r="R120" i="5"/>
  <c r="P120" i="5"/>
  <c r="E33" i="8"/>
  <c r="I33" i="8"/>
  <c r="E20" i="8"/>
  <c r="F20" i="8"/>
  <c r="I20" i="8"/>
  <c r="J20" i="8"/>
  <c r="P121" i="1"/>
  <c r="P123" i="5" s="1"/>
  <c r="L33" i="8"/>
  <c r="M121" i="1"/>
  <c r="M123" i="5" s="1"/>
  <c r="F33" i="8"/>
  <c r="G20" i="8"/>
  <c r="C20" i="8"/>
  <c r="L123" i="5"/>
  <c r="D118" i="1"/>
  <c r="R123" i="5"/>
  <c r="D11" i="7"/>
  <c r="N121" i="1" l="1"/>
  <c r="N123" i="5" s="1"/>
  <c r="Q13" i="13"/>
  <c r="Q14" i="13" s="1"/>
  <c r="C10" i="7" s="1"/>
  <c r="O121" i="1"/>
  <c r="O123" i="5" s="1"/>
  <c r="O120" i="5"/>
  <c r="C25" i="11"/>
  <c r="C53" i="11"/>
  <c r="N120" i="5"/>
  <c r="F125" i="5"/>
  <c r="G125" i="5" s="1"/>
  <c r="H125" i="5" s="1"/>
  <c r="I125" i="5" s="1"/>
  <c r="J125" i="5" s="1"/>
  <c r="K125" i="5" s="1"/>
  <c r="L125" i="5" s="1"/>
  <c r="M125" i="5" s="1"/>
  <c r="N125" i="5" s="1"/>
  <c r="O125" i="5" s="1"/>
  <c r="P125" i="5" s="1"/>
  <c r="Q125" i="5" s="1"/>
  <c r="R125" i="5" s="1"/>
  <c r="P36" i="8"/>
  <c r="O36" i="8"/>
  <c r="Q121" i="1"/>
  <c r="Q123" i="5" s="1"/>
  <c r="L36" i="8"/>
  <c r="Q120" i="5"/>
  <c r="H36" i="8"/>
  <c r="J33" i="8"/>
  <c r="J36" i="8" s="1"/>
  <c r="C26" i="8"/>
  <c r="C33" i="8" s="1"/>
  <c r="C36" i="8" s="1"/>
  <c r="C38" i="8" s="1"/>
  <c r="D120" i="5"/>
  <c r="K36" i="8"/>
  <c r="M36" i="8"/>
  <c r="N36" i="8"/>
  <c r="E36" i="8"/>
  <c r="D12" i="7"/>
  <c r="F36" i="8"/>
  <c r="I36" i="8"/>
  <c r="D121" i="1"/>
  <c r="G33" i="8"/>
  <c r="G36" i="8" s="1"/>
  <c r="C8" i="13" l="1"/>
  <c r="C9" i="13" s="1"/>
  <c r="G10" i="7" s="1"/>
  <c r="C17" i="13"/>
  <c r="D10" i="7" s="1"/>
  <c r="Q8" i="11"/>
  <c r="D123" i="5"/>
  <c r="D124" i="1"/>
  <c r="E124" i="1" s="1"/>
  <c r="F124" i="1" s="1"/>
  <c r="G124" i="1" s="1"/>
  <c r="H124" i="1" s="1"/>
  <c r="I124" i="1" s="1"/>
  <c r="J124" i="1" s="1"/>
  <c r="K124" i="1" s="1"/>
  <c r="L124" i="1" s="1"/>
  <c r="M124" i="1" s="1"/>
  <c r="N124" i="1" s="1"/>
  <c r="O124" i="1" s="1"/>
  <c r="P124" i="1" s="1"/>
  <c r="Q124" i="1" s="1"/>
  <c r="R124" i="1" s="1"/>
  <c r="F13" i="7"/>
  <c r="D9" i="7"/>
  <c r="J13" i="2"/>
  <c r="F12" i="7" l="1"/>
  <c r="Q11" i="11"/>
  <c r="Q25" i="11" s="1"/>
  <c r="C30" i="11" s="1"/>
  <c r="Q48" i="11"/>
  <c r="Q50" i="11" s="1"/>
  <c r="Q53" i="11" s="1"/>
  <c r="C58" i="11" s="1"/>
  <c r="D13" i="7"/>
  <c r="D14" i="7" s="1"/>
  <c r="D15" i="7" s="1"/>
  <c r="C17" i="7" s="1"/>
  <c r="C19" i="7" s="1"/>
  <c r="D7" i="8" s="1"/>
  <c r="D20" i="8" s="1"/>
  <c r="D36" i="8" s="1"/>
  <c r="D38" i="8" s="1"/>
  <c r="E38" i="8" s="1"/>
  <c r="F38" i="8" s="1"/>
  <c r="G38" i="8" s="1"/>
  <c r="H38" i="8" s="1"/>
  <c r="I38" i="8" s="1"/>
  <c r="J38" i="8" s="1"/>
  <c r="K38" i="8" s="1"/>
  <c r="L38" i="8" s="1"/>
  <c r="M38" i="8" s="1"/>
  <c r="N38" i="8" s="1"/>
  <c r="O38" i="8" s="1"/>
  <c r="P38" i="8" s="1"/>
  <c r="Q38" i="8" s="1"/>
  <c r="J44" i="2"/>
  <c r="K44" i="2" s="1"/>
  <c r="C57" i="11" l="1"/>
  <c r="C29" i="11"/>
  <c r="D25" i="18" l="1"/>
  <c r="D15" i="18"/>
  <c r="D23" i="18"/>
  <c r="D21" i="18"/>
  <c r="D17" i="18"/>
  <c r="D19" i="18"/>
  <c r="D14" i="18"/>
  <c r="D16" i="18"/>
  <c r="D18" i="18"/>
  <c r="D20" i="18"/>
  <c r="D22" i="18"/>
</calcChain>
</file>

<file path=xl/comments1.xml><?xml version="1.0" encoding="utf-8"?>
<comments xmlns="http://schemas.openxmlformats.org/spreadsheetml/2006/main">
  <authors>
    <author>Siiri</author>
  </authors>
  <commentList>
    <comment ref="B10" authorId="0" shapeId="0">
      <text>
        <r>
          <rPr>
            <sz val="9"/>
            <color indexed="81"/>
            <rFont val="Tahoma"/>
            <family val="2"/>
            <charset val="186"/>
          </rPr>
          <t>Aasta, millal tekkisid/tekivad esimesed projektikulud</t>
        </r>
      </text>
    </comment>
    <comment ref="B13" authorId="0" shapeId="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10.xml><?xml version="1.0" encoding="utf-8"?>
<comments xmlns="http://schemas.openxmlformats.org/spreadsheetml/2006/main">
  <authors>
    <author>Siiri</author>
  </authors>
  <commentList>
    <comment ref="A8" authorId="0" shapeId="0">
      <text>
        <r>
          <rPr>
            <sz val="9"/>
            <color indexed="81"/>
            <rFont val="Tahoma"/>
            <family val="2"/>
            <charset val="186"/>
          </rPr>
          <t>Tabelist 5</t>
        </r>
      </text>
    </comment>
    <comment ref="A12" authorId="0" shapeId="0">
      <text>
        <r>
          <rPr>
            <sz val="9"/>
            <color indexed="81"/>
            <rFont val="Tahoma"/>
            <family val="2"/>
            <charset val="186"/>
          </rPr>
          <t>Kirjutage arvestusperioodi viimase aasta tulude ja kulude vahe number 
arvestusperioodi ületavatele kasuliku eluea aastatele</t>
        </r>
      </text>
    </comment>
    <comment ref="R12" authorId="0" shapeId="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text>
        <r>
          <rPr>
            <sz val="9"/>
            <color indexed="81"/>
            <rFont val="Tahoma"/>
            <family val="2"/>
            <charset val="186"/>
          </rPr>
          <t>Arvesse saab võtta ainult positiivset jääkväärtust</t>
        </r>
      </text>
    </comment>
  </commentList>
</comments>
</file>

<file path=xl/comments11.xml><?xml version="1.0" encoding="utf-8"?>
<comments xmlns="http://schemas.openxmlformats.org/spreadsheetml/2006/main">
  <authors>
    <author>Bedjuhhov Mihhail</author>
  </authors>
  <commentList>
    <comment ref="C8" authorId="0" shapeId="0">
      <text>
        <r>
          <rPr>
            <sz val="9"/>
            <color indexed="81"/>
            <rFont val="Tahoma"/>
            <family val="2"/>
            <charset val="204"/>
          </rPr>
          <t>Универсальная услуга + сетевая плата</t>
        </r>
      </text>
    </comment>
  </commentList>
</comments>
</file>

<file path=xl/comments12.xml><?xml version="1.0" encoding="utf-8"?>
<comments xmlns="http://schemas.openxmlformats.org/spreadsheetml/2006/main">
  <authors>
    <author>Bedjuhhov Mihhail</author>
  </authors>
  <commentList>
    <comment ref="B9" authorId="0" shapeId="0">
      <text>
        <r>
          <rPr>
            <sz val="9"/>
            <color indexed="81"/>
            <rFont val="Tahoma"/>
            <family val="2"/>
            <charset val="204"/>
          </rPr>
          <t>Продуктивность персонала по нетто-обороту, в сфере обрабатывающей промышленности (нетто-продажи/1 работник в год). Средн.  за 1-2 кв.2022. в годовом пересчете.</t>
        </r>
      </text>
    </comment>
    <comment ref="B11" authorId="0" shapeId="0">
      <text>
        <r>
          <rPr>
            <sz val="9"/>
            <color indexed="81"/>
            <rFont val="Tahoma"/>
            <family val="2"/>
            <charset val="204"/>
          </rPr>
          <t>Продуктивность персонала по добавленной стоимости, в сфере обрабатывающей промышленности (добавленная стоимость/1 работник в год). Средн.  за 1-2 кв.2022. в годовом пересчете.</t>
        </r>
      </text>
    </comment>
    <comment ref="B13" authorId="0" shapeId="0">
      <text>
        <r>
          <rPr>
            <sz val="9"/>
            <color indexed="81"/>
            <rFont val="Tahoma"/>
            <family val="2"/>
            <charset val="204"/>
          </rPr>
          <t>Ida-Virumaa keskmine brutopalk, 2 kv 2022</t>
        </r>
      </text>
    </comment>
    <comment ref="B34" authorId="0" shapeId="0">
      <text>
        <r>
          <rPr>
            <sz val="9"/>
            <color indexed="81"/>
            <rFont val="Tahoma"/>
            <family val="2"/>
            <charset val="204"/>
          </rPr>
          <t>Продуктивность персонала по добавленной стоимости, в сфере обрабатывающей промышленности (добавленная стоимость/1 работник в год). Средн.  за 1-2 кв.2022. в годовом пересчете.</t>
        </r>
      </text>
    </comment>
    <comment ref="B36" authorId="0" shapeId="0">
      <text>
        <r>
          <rPr>
            <sz val="9"/>
            <color indexed="81"/>
            <rFont val="Tahoma"/>
            <family val="2"/>
            <charset val="204"/>
          </rPr>
          <t>Средняя зарплата по Ида-Вирумаа, 2 кв 2022</t>
        </r>
      </text>
    </comment>
  </commentList>
</comments>
</file>

<file path=xl/comments2.xml><?xml version="1.0" encoding="utf-8"?>
<comments xmlns="http://schemas.openxmlformats.org/spreadsheetml/2006/main">
  <authors>
    <author>Siiri Einaste</author>
  </authors>
  <commentList>
    <comment ref="D2" authorId="0" shapeId="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text>
        <r>
          <rPr>
            <sz val="9"/>
            <color indexed="81"/>
            <rFont val="Tahoma"/>
            <family val="2"/>
            <charset val="186"/>
          </rPr>
          <t>Mitme aasta jooksul amortiseeritakse</t>
        </r>
      </text>
    </comment>
  </commentList>
</comments>
</file>

<file path=xl/comments3.xml><?xml version="1.0" encoding="utf-8"?>
<comments xmlns="http://schemas.openxmlformats.org/spreadsheetml/2006/main">
  <authors>
    <author>Siiri Einaste</author>
  </authors>
  <commentList>
    <comment ref="B7" authorId="0" shapeId="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58" authorId="0" shapeId="0">
      <text>
        <r>
          <rPr>
            <sz val="9"/>
            <color indexed="81"/>
            <rFont val="Tahoma"/>
            <family val="2"/>
            <charset val="186"/>
          </rPr>
          <t>Lisada ametikohtade nimetused</t>
        </r>
      </text>
    </comment>
    <comment ref="B77" authorId="0" shapeId="0">
      <text>
        <r>
          <rPr>
            <sz val="9"/>
            <color indexed="81"/>
            <rFont val="Tahoma"/>
            <family val="2"/>
            <charset val="186"/>
          </rPr>
          <t>Vajadusel lisage töötajate jaoks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4.xml><?xml version="1.0" encoding="utf-8"?>
<comments xmlns="http://schemas.openxmlformats.org/spreadsheetml/2006/main">
  <authors>
    <author>Bedjuhhov Mihhail</author>
  </authors>
  <commentList>
    <comment ref="A19" authorId="0" shapeId="0">
      <text>
        <r>
          <rPr>
            <sz val="9"/>
            <color indexed="81"/>
            <rFont val="Tahoma"/>
            <family val="2"/>
            <charset val="204"/>
          </rPr>
          <t>В расчете отталкиваемся от потребления в производственном корпусе (основные траты - душ). Считаем, что расход воды в административном корпусе незначителен и на фоне производственного корпуса им можно пренебречь.</t>
        </r>
      </text>
    </comment>
    <comment ref="A22" authorId="0" shapeId="0">
      <text>
        <r>
          <rPr>
            <sz val="9"/>
            <color indexed="81"/>
            <rFont val="Tahoma"/>
            <family val="2"/>
            <charset val="204"/>
          </rPr>
          <t>В расчете отталкиваемся от потребления в производственном корпусе (основные траты - душ). Считаем, что расход воды в административном корпусе незначителен и на фоне производственного корпуса им можно пренебречь.</t>
        </r>
      </text>
    </comment>
    <comment ref="A47" authorId="0" shapeId="0">
      <text>
        <r>
          <rPr>
            <sz val="9"/>
            <color indexed="81"/>
            <rFont val="Tahoma"/>
            <family val="2"/>
            <charset val="204"/>
          </rPr>
          <t>Только административное здание</t>
        </r>
      </text>
    </comment>
  </commentList>
</comments>
</file>

<file path=xl/comments5.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6.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7.xml><?xml version="1.0" encoding="utf-8"?>
<comments xmlns="http://schemas.openxmlformats.org/spreadsheetml/2006/main">
  <authors>
    <author>Siiri</author>
    <author>Siiri Einaste</author>
  </authors>
  <commentList>
    <comment ref="A7" authorId="0" shapeId="0">
      <text>
        <r>
          <rPr>
            <sz val="9"/>
            <color indexed="81"/>
            <rFont val="Tahoma"/>
            <family val="2"/>
            <charset val="186"/>
          </rPr>
          <t>Tabelist 4</t>
        </r>
      </text>
    </comment>
    <comment ref="A8" authorId="0" shapeId="0">
      <text>
        <r>
          <rPr>
            <sz val="9"/>
            <color indexed="81"/>
            <rFont val="Tahoma"/>
            <family val="2"/>
            <charset val="186"/>
          </rPr>
          <t>Tabelist 8</t>
        </r>
      </text>
    </comment>
    <comment ref="A16" authorId="1" shapeId="0">
      <text>
        <r>
          <rPr>
            <sz val="9"/>
            <color indexed="81"/>
            <rFont val="Tahoma"/>
            <family val="2"/>
            <charset val="186"/>
          </rPr>
          <t>Tabelist 4</t>
        </r>
      </text>
    </comment>
    <comment ref="A17" authorId="0" shapeId="0">
      <text>
        <r>
          <rPr>
            <sz val="9"/>
            <color indexed="81"/>
            <rFont val="Tahoma"/>
            <family val="2"/>
            <charset val="186"/>
          </rPr>
          <t>Tabelist 6</t>
        </r>
      </text>
    </comment>
    <comment ref="A18" authorId="0" shapeId="0">
      <text>
        <r>
          <rPr>
            <sz val="9"/>
            <color indexed="81"/>
            <rFont val="Tahoma"/>
            <family val="2"/>
            <charset val="186"/>
          </rPr>
          <t>Tabelist 6</t>
        </r>
      </text>
    </comment>
    <comment ref="A19" authorId="0" shapeId="0">
      <text>
        <r>
          <rPr>
            <sz val="9"/>
            <color indexed="81"/>
            <rFont val="Tahoma"/>
            <family val="2"/>
            <charset val="186"/>
          </rPr>
          <t>Tabelist 6</t>
        </r>
      </text>
    </comment>
    <comment ref="A20" authorId="0" shapeId="0">
      <text>
        <r>
          <rPr>
            <sz val="9"/>
            <color indexed="81"/>
            <rFont val="Tahoma"/>
            <family val="2"/>
            <charset val="186"/>
          </rPr>
          <t>Tabelist 6</t>
        </r>
      </text>
    </comment>
    <comment ref="C29" authorId="0" shapeId="0">
      <text>
        <r>
          <rPr>
            <sz val="9"/>
            <color indexed="81"/>
            <rFont val="Tahoma"/>
            <family val="2"/>
            <charset val="186"/>
          </rPr>
          <t>Sageli väga madal või isegi negatiivne</t>
        </r>
      </text>
    </comment>
    <comment ref="I30" authorId="0" shapeId="0">
      <text>
        <r>
          <rPr>
            <sz val="9"/>
            <color indexed="81"/>
            <rFont val="Tahoma"/>
            <family val="2"/>
            <charset val="186"/>
          </rPr>
          <t>Guess, mis on arvatavasti lähim IRR väärtusele. Guess väärtus peab olema vähemalt -9%, et IRR kuvaks väärtuse.</t>
        </r>
      </text>
    </comment>
    <comment ref="A39" authorId="0" shapeId="0">
      <text>
        <r>
          <rPr>
            <sz val="9"/>
            <color indexed="81"/>
            <rFont val="Tahoma"/>
            <family val="2"/>
            <charset val="186"/>
          </rPr>
          <t>Tabelist 4</t>
        </r>
      </text>
    </comment>
    <comment ref="A46" authorId="1" shapeId="0">
      <text>
        <r>
          <rPr>
            <sz val="9"/>
            <color indexed="81"/>
            <rFont val="Tahoma"/>
            <family val="2"/>
            <charset val="186"/>
          </rPr>
          <t>Tabelist 4</t>
        </r>
      </text>
    </comment>
    <comment ref="A47" authorId="0" shapeId="0">
      <text>
        <r>
          <rPr>
            <sz val="9"/>
            <color indexed="81"/>
            <rFont val="Tahoma"/>
            <family val="2"/>
            <charset val="186"/>
          </rPr>
          <t>Tabelist 1.a</t>
        </r>
      </text>
    </comment>
    <comment ref="A48" authorId="0" shapeId="0">
      <text>
        <r>
          <rPr>
            <sz val="9"/>
            <color indexed="81"/>
            <rFont val="Tahoma"/>
            <family val="2"/>
            <charset val="186"/>
          </rPr>
          <t>Tabelist 8</t>
        </r>
      </text>
    </comment>
    <comment ref="C57" authorId="0" shapeId="0">
      <text>
        <r>
          <rPr>
            <sz val="9"/>
            <color indexed="81"/>
            <rFont val="Tahoma"/>
            <family val="2"/>
            <charset val="186"/>
          </rPr>
          <t>Peab olema negatiivne</t>
        </r>
      </text>
    </comment>
  </commentList>
</comments>
</file>

<file path=xl/comments8.xml><?xml version="1.0" encoding="utf-8"?>
<comments xmlns="http://schemas.openxmlformats.org/spreadsheetml/2006/main">
  <authors>
    <author>Siiri Einaste</author>
    <author>Siiri</author>
  </authors>
  <commentList>
    <comment ref="B9" authorId="0" shapeId="0">
      <text>
        <r>
          <rPr>
            <sz val="9"/>
            <color indexed="81"/>
            <rFont val="Tahoma"/>
            <family val="2"/>
            <charset val="186"/>
          </rPr>
          <t>Projekti kogukulud tabelist 1.a</t>
        </r>
      </text>
    </comment>
    <comment ref="B10" authorId="1" shapeId="0">
      <text>
        <r>
          <rPr>
            <sz val="9"/>
            <color indexed="81"/>
            <rFont val="Tahoma"/>
            <family val="2"/>
            <charset val="186"/>
          </rPr>
          <t>Tabelist 8</t>
        </r>
      </text>
    </comment>
    <comment ref="B16" authorId="0" shapeId="0">
      <text>
        <r>
          <rPr>
            <sz val="9"/>
            <color indexed="81"/>
            <rFont val="Tahoma"/>
            <family val="2"/>
            <charset val="186"/>
          </rPr>
          <t>Projekti elluviimise abikõlblikud kulud tabelist 1.b</t>
        </r>
      </text>
    </comment>
  </commentList>
</comments>
</file>

<file path=xl/comments9.xml><?xml version="1.0" encoding="utf-8"?>
<comments xmlns="http://schemas.openxmlformats.org/spreadsheetml/2006/main">
  <authors>
    <author>Siiri Einaste</author>
    <author>Kersti Raja</author>
  </authors>
  <commentList>
    <comment ref="A8" authorId="0" shapeId="0">
      <text>
        <r>
          <rPr>
            <sz val="9"/>
            <color indexed="81"/>
            <rFont val="Tahoma"/>
            <family val="2"/>
            <charset val="186"/>
          </rPr>
          <t>Kajastage kõik toetused/rahastajad eraldi ridadel</t>
        </r>
      </text>
    </comment>
    <comment ref="A13" authorId="0" shapeId="0">
      <text>
        <r>
          <rPr>
            <sz val="9"/>
            <color indexed="81"/>
            <rFont val="Tahoma"/>
            <family val="2"/>
            <charset val="186"/>
          </rPr>
          <t>Tulude ja kulude prognoosist</t>
        </r>
      </text>
    </comment>
    <comment ref="A15" authorId="1" shapeId="0">
      <text>
        <r>
          <rPr>
            <b/>
            <sz val="9"/>
            <color indexed="81"/>
            <rFont val="Segoe UI"/>
            <family val="2"/>
          </rPr>
          <t>Kersti Raja:</t>
        </r>
        <r>
          <rPr>
            <sz val="9"/>
            <color indexed="81"/>
            <rFont val="Segoe UI"/>
            <family val="2"/>
          </rPr>
          <t xml:space="preserve">
Exceli omapärast tulenev rida, et hoida rahavoog positiivne (tuginedes RTK varasematele kogemustele)</t>
        </r>
      </text>
    </comment>
    <comment ref="A25" authorId="0" shapeId="0">
      <text>
        <r>
          <rPr>
            <sz val="9"/>
            <color indexed="81"/>
            <rFont val="Tahoma"/>
            <family val="2"/>
            <charset val="186"/>
          </rPr>
          <t>Tabelist 1.a</t>
        </r>
      </text>
    </comment>
    <comment ref="A26" authorId="0" shapeId="0">
      <text>
        <r>
          <rPr>
            <sz val="9"/>
            <color indexed="81"/>
            <rFont val="Tahoma"/>
            <family val="2"/>
            <charset val="186"/>
          </rPr>
          <t>Tulude ja kulude prognoosist (tabel 2)</t>
        </r>
      </text>
    </comment>
    <comment ref="A27" authorId="1" shapeId="0">
      <text>
        <r>
          <rPr>
            <b/>
            <sz val="9"/>
            <color indexed="81"/>
            <rFont val="Segoe UI"/>
            <family val="2"/>
          </rPr>
          <t>Kersti Raja:</t>
        </r>
        <r>
          <rPr>
            <sz val="9"/>
            <color indexed="81"/>
            <rFont val="Segoe UI"/>
            <family val="2"/>
          </rPr>
          <t xml:space="preserve">
Exceli omapärast tulenev rida, et hoida rahavoog positiivne (tuginedes RTK varasematele kogemustele)</t>
        </r>
      </text>
    </comment>
  </commentList>
</comments>
</file>

<file path=xl/sharedStrings.xml><?xml version="1.0" encoding="utf-8"?>
<sst xmlns="http://schemas.openxmlformats.org/spreadsheetml/2006/main" count="1299" uniqueCount="652">
  <si>
    <t>Hind</t>
  </si>
  <si>
    <t>Müügitulu</t>
  </si>
  <si>
    <t>Ühik</t>
  </si>
  <si>
    <t>Eur</t>
  </si>
  <si>
    <t>Märts</t>
  </si>
  <si>
    <t>Mai</t>
  </si>
  <si>
    <t>Juuni</t>
  </si>
  <si>
    <t>Juuli</t>
  </si>
  <si>
    <t>TULUD KOKKU</t>
  </si>
  <si>
    <t>Toode/teenus 3</t>
  </si>
  <si>
    <t>Toode/teenus 4</t>
  </si>
  <si>
    <t>Toode/teenus 5</t>
  </si>
  <si>
    <t>Toode/teenus 6</t>
  </si>
  <si>
    <t>Toode/teenus 7</t>
  </si>
  <si>
    <t>Toode/teenus 8</t>
  </si>
  <si>
    <t>Toode/teenus 9</t>
  </si>
  <si>
    <t>Toode/teenus 10</t>
  </si>
  <si>
    <t>KULUD</t>
  </si>
  <si>
    <t>Tööjõukulud</t>
  </si>
  <si>
    <t>Töötaja 4</t>
  </si>
  <si>
    <t>Töötaja 5</t>
  </si>
  <si>
    <t>Töötaja 6</t>
  </si>
  <si>
    <t>Töötaja 7</t>
  </si>
  <si>
    <t>Töötaja 8</t>
  </si>
  <si>
    <t>Töötaja 9</t>
  </si>
  <si>
    <t>Töötaja 10</t>
  </si>
  <si>
    <t>Sotsiaal- ja tk.m</t>
  </si>
  <si>
    <t>Brutotasud kokku</t>
  </si>
  <si>
    <t>Tööjõukulud kokku</t>
  </si>
  <si>
    <t>Halduskulud</t>
  </si>
  <si>
    <t>Elekter</t>
  </si>
  <si>
    <t>Küte</t>
  </si>
  <si>
    <t>Kindlustus</t>
  </si>
  <si>
    <t>Halduskulud kokku</t>
  </si>
  <si>
    <t>Turunduskulud</t>
  </si>
  <si>
    <t>Kulu 5</t>
  </si>
  <si>
    <t>Kulu 6</t>
  </si>
  <si>
    <t>Kulu 7</t>
  </si>
  <si>
    <t>Kulu 8</t>
  </si>
  <si>
    <t>Kulu 9</t>
  </si>
  <si>
    <t>Kulu 10</t>
  </si>
  <si>
    <t>Turunduskulud kokku</t>
  </si>
  <si>
    <t>Muud kulud kokku</t>
  </si>
  <si>
    <t>KULUD KOKKU</t>
  </si>
  <si>
    <t>Tulude ja kulude vahe</t>
  </si>
  <si>
    <t>TULUD</t>
  </si>
  <si>
    <t>Muu kulu 4</t>
  </si>
  <si>
    <t>Muu kulu 5</t>
  </si>
  <si>
    <t>Muu kulu 6</t>
  </si>
  <si>
    <t>Muu kulu 7</t>
  </si>
  <si>
    <t>Muu kulu 8</t>
  </si>
  <si>
    <t>Muu kulu 9</t>
  </si>
  <si>
    <t>Muu kulu 10</t>
  </si>
  <si>
    <t>Töötaja 12</t>
  </si>
  <si>
    <t>Töötaja 13</t>
  </si>
  <si>
    <t>Töötaja 14</t>
  </si>
  <si>
    <t>Töötaja 15</t>
  </si>
  <si>
    <t>Töötaja 16</t>
  </si>
  <si>
    <t>Töötaja 17</t>
  </si>
  <si>
    <t>Töötaja 18</t>
  </si>
  <si>
    <t>Töötaja 19</t>
  </si>
  <si>
    <t>Töötaja 20</t>
  </si>
  <si>
    <t>Halduskulu 9</t>
  </si>
  <si>
    <t>Halduskulu 10</t>
  </si>
  <si>
    <t>Ühik 2</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</si>
  <si>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</si>
  <si>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</si>
  <si>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</si>
  <si>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</si>
  <si>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</si>
  <si>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</si>
  <si>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</si>
  <si>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</si>
  <si>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</si>
  <si>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</si>
  <si>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</si>
  <si>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</si>
  <si>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</si>
  <si>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</si>
  <si>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</si>
  <si>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</si>
  <si>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</si>
  <si>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</si>
  <si>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</si>
  <si>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</si>
  <si>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</si>
  <si>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</si>
  <si>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</si>
  <si>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</si>
  <si>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</si>
  <si>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</si>
  <si>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</si>
  <si>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</si>
  <si>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</si>
  <si>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</si>
  <si>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</si>
  <si>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</si>
  <si>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</si>
  <si>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</si>
  <si>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</si>
  <si>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</si>
  <si>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</si>
  <si>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</si>
  <si>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</si>
  <si>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</si>
  <si>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</si>
  <si>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</si>
  <si>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</si>
  <si>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</si>
  <si>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</si>
  <si>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</si>
  <si>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</si>
  <si>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</si>
  <si>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</si>
  <si>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</si>
  <si>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</si>
  <si>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</si>
  <si>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</si>
  <si>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</si>
  <si>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</si>
  <si>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</si>
  <si>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</si>
  <si>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</si>
  <si>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</si>
  <si>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</si>
  <si>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</si>
  <si>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</si>
  <si>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</si>
  <si>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</si>
  <si>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</si>
  <si>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</si>
  <si>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</si>
  <si>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</si>
  <si>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Laenu võtmine</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</si>
  <si>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</si>
  <si>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</si>
  <si>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</si>
  <si>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</si>
  <si>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</si>
  <si>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</si>
  <si>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</si>
  <si>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</si>
  <si>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</si>
  <si>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</si>
  <si>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</si>
  <si>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</si>
  <si>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</si>
  <si>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</si>
  <si>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</si>
  <si>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</si>
  <si>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</si>
  <si>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</si>
  <si>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</si>
  <si>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</si>
  <si>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</si>
  <si>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Ühik 1</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</si>
  <si>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</si>
  <si>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</si>
  <si>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</si>
  <si>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</si>
  <si>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</si>
  <si>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</si>
  <si>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</si>
  <si>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</si>
  <si>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</si>
  <si>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</si>
  <si>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</si>
  <si>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</si>
  <si>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</si>
  <si>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</si>
  <si>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</si>
  <si>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</si>
  <si>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</si>
  <si>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</si>
  <si>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</si>
  <si>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</si>
  <si>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</si>
  <si>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</si>
  <si>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</si>
  <si>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</si>
  <si>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</si>
  <si>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</si>
  <si>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</si>
  <si>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</si>
  <si>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</si>
  <si>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</si>
  <si>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</si>
  <si>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</si>
  <si>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</si>
  <si>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</si>
  <si>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</si>
  <si>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</si>
  <si>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</si>
  <si>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</si>
  <si>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</si>
  <si>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</si>
  <si>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</si>
  <si>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</si>
  <si>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</si>
  <si>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</si>
  <si>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</si>
  <si>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</si>
  <si>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</si>
  <si>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</si>
  <si>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</si>
  <si>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</si>
  <si>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</si>
  <si>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</si>
  <si>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</si>
  <si>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</si>
  <si>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</si>
  <si>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</si>
  <si>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</si>
  <si>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</si>
  <si>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</si>
  <si>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</si>
  <si>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</si>
  <si>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</si>
  <si>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</si>
  <si>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</si>
  <si>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</si>
  <si>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</si>
  <si>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</si>
  <si>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</si>
  <si>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</si>
  <si>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</si>
  <si>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</si>
  <si>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</si>
  <si>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</si>
  <si>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</si>
  <si>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</si>
  <si>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</si>
  <si>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</si>
  <si>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</si>
  <si>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</si>
  <si>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</si>
  <si>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</si>
  <si>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</si>
  <si>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</si>
  <si>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</si>
  <si>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</si>
  <si>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</si>
  <si>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</si>
  <si>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</si>
  <si>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</si>
  <si>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</si>
  <si>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</si>
  <si>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</si>
  <si>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</si>
  <si>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</si>
  <si>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</si>
  <si>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</si>
  <si>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</si>
  <si>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</si>
  <si>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</si>
  <si>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</si>
  <si>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</si>
  <si>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3.1. Inkubaatori  ehitamise kulud</t>
  </si>
  <si>
    <t>2022.a.  33%</t>
  </si>
  <si>
    <t>2022.a.  0,8%</t>
  </si>
  <si>
    <t>3. Ehitamine</t>
  </si>
  <si>
    <t>2. Ehituslikud eeltööd (põhiprojekt)</t>
  </si>
  <si>
    <t>3.2. Seadmete ostmise kulud</t>
  </si>
  <si>
    <t>4. Struktuuritoetuse andmisest avalikkuse teavitamine</t>
  </si>
  <si>
    <t>SISENDANDMED</t>
  </si>
  <si>
    <t>Teenuste müük</t>
  </si>
  <si>
    <t>Täituvus</t>
  </si>
  <si>
    <t>Üürihind</t>
  </si>
  <si>
    <t>eur/m2</t>
  </si>
  <si>
    <t>Kommunaalteenuste ja elektrienergia maksumus</t>
  </si>
  <si>
    <t>Keskküte</t>
  </si>
  <si>
    <t>eur/MWh</t>
  </si>
  <si>
    <t>Elektrienergia</t>
  </si>
  <si>
    <t>eur/kWh</t>
  </si>
  <si>
    <t>Vesi ja kanalisatsioon</t>
  </si>
  <si>
    <t>eur/m3</t>
  </si>
  <si>
    <t>Ressursikasutuse hinnangulised keskmised näitajad</t>
  </si>
  <si>
    <t>Täituvad ruumid</t>
  </si>
  <si>
    <t>Tühjenevad ruumid</t>
  </si>
  <si>
    <t>Tööstushoone</t>
  </si>
  <si>
    <t>kW/1 m3/aastas</t>
  </si>
  <si>
    <t>Haldushoone</t>
  </si>
  <si>
    <t>elektrienergia tootmine</t>
  </si>
  <si>
    <t>kWh /1 ettevõte</t>
  </si>
  <si>
    <t>кВт*ч/м2 эксп. площ.</t>
  </si>
  <si>
    <t>elektrivalgustus</t>
  </si>
  <si>
    <t>W/1 m2/h</t>
  </si>
  <si>
    <t>Administratiivkorpus (kontorid/ühisruumid)</t>
  </si>
  <si>
    <t>m3/tööstustööline/kuus</t>
  </si>
  <si>
    <t>sh külm vesi</t>
  </si>
  <si>
    <t>sh soe vesi</t>
  </si>
  <si>
    <t>Vee soojendamine</t>
  </si>
  <si>
    <t>MWh/tööstustööline/kuus</t>
  </si>
  <si>
    <t>Ruumide struktuur</t>
  </si>
  <si>
    <t>Korpus</t>
  </si>
  <si>
    <t>Üüriruumid</t>
  </si>
  <si>
    <t>Ühisruumid</t>
  </si>
  <si>
    <t>Vabad ruumid</t>
  </si>
  <si>
    <t>Töörezhiim/ekspluatatsioon</t>
  </si>
  <si>
    <t>Valgustusrezhiim:</t>
  </si>
  <si>
    <t>Hoone tüüp</t>
  </si>
  <si>
    <t>Vahetuste keskmine arv</t>
  </si>
  <si>
    <t>Töötunde keskmiselt päevas</t>
  </si>
  <si>
    <t>Töötunde keskmiselt aastas</t>
  </si>
  <si>
    <t>Sisselülitatud valgustus h/päevas</t>
  </si>
  <si>
    <t>Väljalülitatud valgustus h/päevas</t>
  </si>
  <si>
    <t>Tootmisruumides</t>
  </si>
  <si>
    <t>1 ettevõte</t>
  </si>
  <si>
    <t>Bürooruumides</t>
  </si>
  <si>
    <t>Ühisruumides</t>
  </si>
  <si>
    <t>Ettevõtted ja töötajad</t>
  </si>
  <si>
    <t>Ettevõtte tüüp</t>
  </si>
  <si>
    <t>Ettevõtete arv</t>
  </si>
  <si>
    <t>Tootmistöölisi 1 vahetuses</t>
  </si>
  <si>
    <t>Tootmistöölisi 1 ettevõttes</t>
  </si>
  <si>
    <t>Bürootöötajaid 1 ettevõttes</t>
  </si>
  <si>
    <t>Kokku töötajaid 1 ettevõttes</t>
  </si>
  <si>
    <t>Tootmisettevõte</t>
  </si>
  <si>
    <t>Teenindusettevõte</t>
  </si>
  <si>
    <t>Kokku</t>
  </si>
  <si>
    <t>Kokku töötajaid</t>
  </si>
  <si>
    <t>sh tootmises</t>
  </si>
  <si>
    <t>sh büroos</t>
  </si>
  <si>
    <t>inim</t>
  </si>
  <si>
    <t>Remonditööd</t>
  </si>
  <si>
    <t>Seinte vahekonstruktsioonide monteerimiskulud</t>
  </si>
  <si>
    <t>eurot/1 vahekonstruktsioon</t>
  </si>
  <si>
    <t>Vahekonstruktsioonide montaazhide arv 1 inkubandi kohta</t>
  </si>
  <si>
    <t>montaazh</t>
  </si>
  <si>
    <t>Sanitaarremondi kulud peale inkubandi lahkumist</t>
  </si>
  <si>
    <t>eurot/1 ruum</t>
  </si>
  <si>
    <t>Inkubandi keskmine viibimisaeg Inkubaatoris</t>
  </si>
  <si>
    <t>Jooksev remont</t>
  </si>
  <si>
    <t>aurot/aastas</t>
  </si>
  <si>
    <t>Допущение</t>
  </si>
  <si>
    <t>Основание</t>
  </si>
  <si>
    <t>Tootmiskorpuse (TK) üüripinnad</t>
  </si>
  <si>
    <t>m2</t>
  </si>
  <si>
    <t>Administratiivkorpuse (AK) üüripinnad</t>
  </si>
  <si>
    <t>Keskmine täituvus</t>
  </si>
  <si>
    <t>%</t>
  </si>
  <si>
    <t>TK üürile antud pinnad</t>
  </si>
  <si>
    <t>TK vabad üüripinnad</t>
  </si>
  <si>
    <t>AK üürile antud pinnad</t>
  </si>
  <si>
    <t>AK vabad üüripinnad</t>
  </si>
  <si>
    <t>AK ühisruumide pindala</t>
  </si>
  <si>
    <t>AK vabad pinnad</t>
  </si>
  <si>
    <t>Üürile mitte antud ruumid kokku</t>
  </si>
  <si>
    <t>Ettevõtete arv Inkubaatoris:</t>
  </si>
  <si>
    <t>Tootmisettevõtted</t>
  </si>
  <si>
    <t>ettevõtted</t>
  </si>
  <si>
    <t>Teenindusettevõtted</t>
  </si>
  <si>
    <t>1 tootmisettevõtte töötajate arv</t>
  </si>
  <si>
    <t>Tootmisettevõtete töötajaid kokku</t>
  </si>
  <si>
    <t>Sisendandmed kuluartiklite kaupa:</t>
  </si>
  <si>
    <t>MWh/aastas</t>
  </si>
  <si>
    <t>Tootmiskorpus</t>
  </si>
  <si>
    <t>Üürileantavad pinnad</t>
  </si>
  <si>
    <t>Vabanevad pinnad</t>
  </si>
  <si>
    <t>Administratiivkorpus</t>
  </si>
  <si>
    <t>Vabanevad tootmispinnad</t>
  </si>
  <si>
    <t>Valgustus</t>
  </si>
  <si>
    <t>KWh/aastas</t>
  </si>
  <si>
    <t>m3</t>
  </si>
  <si>
    <t>Vahekonstruktsioonide montaazhide keskmine arv</t>
  </si>
  <si>
    <t>Vahekonstruktsioon</t>
  </si>
  <si>
    <t>Vahekonstruktsiooni montaazhi hind</t>
  </si>
  <si>
    <t>eur/vahekonstruktsioon</t>
  </si>
  <si>
    <t>Sanremontide keskmine arv</t>
  </si>
  <si>
    <t>remont</t>
  </si>
  <si>
    <t>Sanremondi maksumus</t>
  </si>
  <si>
    <t>eur/remont</t>
  </si>
  <si>
    <t>eur/aastas</t>
  </si>
  <si>
    <t>Tehnohooldus</t>
  </si>
  <si>
    <t>Tehnosüsteemide hooldus</t>
  </si>
  <si>
    <t>IKT ja automaatsüsteemide (sh serveri) hooldus</t>
  </si>
  <si>
    <t>Turundus</t>
  </si>
  <si>
    <t>Hooldus (administratiivkorpus)</t>
  </si>
  <si>
    <t>Koristamine</t>
  </si>
  <si>
    <t>Olmeprügi väljavedu</t>
  </si>
  <si>
    <t>Hooldus (territoorium)</t>
  </si>
  <si>
    <t>Välisterritooriumi hooldamine</t>
  </si>
  <si>
    <t>Muru niitmine</t>
  </si>
  <si>
    <t>eur/hooajal</t>
  </si>
  <si>
    <t>Lumekoristus</t>
  </si>
  <si>
    <t>Katuste lumekoristus</t>
  </si>
  <si>
    <t>Valve</t>
  </si>
  <si>
    <t>Muu</t>
  </si>
  <si>
    <t>Majapidamis- ja bürootarbed</t>
  </si>
  <si>
    <t>Side, internet</t>
  </si>
  <si>
    <t>Muud kulud</t>
  </si>
  <si>
    <t>Arvestamise alus</t>
  </si>
  <si>
    <t>Otsene mõju (Inkubaatori ettevõtted)</t>
  </si>
  <si>
    <t>Uued ettevõtted (kokku):</t>
  </si>
  <si>
    <t>tootmine</t>
  </si>
  <si>
    <t>ettevõtetele</t>
  </si>
  <si>
    <t>äriteenindus</t>
  </si>
  <si>
    <t>Erainvesteeringud (seadmed)</t>
  </si>
  <si>
    <t>EUR/1 ettevõte</t>
  </si>
  <si>
    <t>mln EUR/aastas</t>
  </si>
  <si>
    <t>Müük</t>
  </si>
  <si>
    <t>EUR/1 töötaja/aastas</t>
  </si>
  <si>
    <t>Ekspordi kasv</t>
  </si>
  <si>
    <t>müügiosast</t>
  </si>
  <si>
    <t>Lisandväärtus</t>
  </si>
  <si>
    <t>Töökohad (kokku)</t>
  </si>
  <si>
    <t>inimene</t>
  </si>
  <si>
    <t>Töötasufond</t>
  </si>
  <si>
    <t>EUR/töötaja/kuus</t>
  </si>
  <si>
    <t>Sotsiaalmaks</t>
  </si>
  <si>
    <t>Tulumaks</t>
  </si>
  <si>
    <t>sh riigieelarvesse</t>
  </si>
  <si>
    <t>sh KOV-le (11,57%)</t>
  </si>
  <si>
    <t>KM</t>
  </si>
  <si>
    <t>Otsesed täiendavad maksud kõikidesse eelarvetesse kokku</t>
  </si>
  <si>
    <t>Kaudne mõju (Inkubaatorist väljunud ettevõtted)</t>
  </si>
  <si>
    <t>Вышедшие из Инкубатора предприятия</t>
  </si>
  <si>
    <t>Inkubaatorist väljumine</t>
  </si>
  <si>
    <t>ettevõte</t>
  </si>
  <si>
    <t>ettevõtet/aastas</t>
  </si>
  <si>
    <t>Väljunud ettevõtted (kokku)</t>
  </si>
  <si>
    <t>sh teostas laienemise  (kokku)</t>
  </si>
  <si>
    <t>väljunud ettevõtetest</t>
  </si>
  <si>
    <t>sh teostas ehituse (kokku)</t>
  </si>
  <si>
    <t>laienenud ettevõtetest</t>
  </si>
  <si>
    <t>Ehituse teostanud ettevõtete tootmispinnad (kokku)</t>
  </si>
  <si>
    <t>laienemise koefitsient</t>
  </si>
  <si>
    <t>Ehituse teostanud ettevõtete kinnistute pindala (kokku)</t>
  </si>
  <si>
    <t>tootmispinnast</t>
  </si>
  <si>
    <t>Investeeringud</t>
  </si>
  <si>
    <t>Investeeringud kinnistutesse</t>
  </si>
  <si>
    <t>EUR/m2</t>
  </si>
  <si>
    <t>Investeeringud ehitusse</t>
  </si>
  <si>
    <t>Investeeringud seadmetesse</t>
  </si>
  <si>
    <t>kasvu koefitsient</t>
  </si>
  <si>
    <t>Eksport</t>
  </si>
  <si>
    <t>Otsesed ja kaudsed maksud kokku</t>
  </si>
  <si>
    <t>mln EUR/aastal</t>
  </si>
  <si>
    <t>sh sotsiaalmaks</t>
  </si>
  <si>
    <t>sh tulumaks</t>
  </si>
  <si>
    <t>sh KM</t>
  </si>
  <si>
    <t>Uued töökohad kokku</t>
  </si>
  <si>
    <t>Otsene mõju</t>
  </si>
  <si>
    <t>Kaudne mõju</t>
  </si>
  <si>
    <t>Uusi ettevõtteid kokku</t>
  </si>
  <si>
    <t>sh teostanud laienemise</t>
  </si>
  <si>
    <t>Äriteeninduse ettevõtted</t>
  </si>
  <si>
    <t>Ettevõtete muud tulemused kokku:</t>
  </si>
  <si>
    <t>Netto käive</t>
  </si>
  <si>
    <t>Erasektori investeeringud (aastas)</t>
  </si>
  <si>
    <t>Erasektori investeeringud (kokku)</t>
  </si>
  <si>
    <t>mln EUR</t>
  </si>
  <si>
    <t>Projekti tasuvusanalüüs avalikule sektorile</t>
  </si>
  <si>
    <t>Avaliku sektori investeeringud</t>
  </si>
  <si>
    <t>Avaliku sektori tulud</t>
  </si>
  <si>
    <t>sh otsene mõju (Inkubaatori ettevõtted)</t>
  </si>
  <si>
    <t>Net Cash flow</t>
  </si>
  <si>
    <t>Akkumuleeritud Net Cash Flow</t>
  </si>
  <si>
    <t>sh otsene mõju</t>
  </si>
  <si>
    <t>Diskonteerimismäär</t>
  </si>
  <si>
    <t>Koefitsient</t>
  </si>
  <si>
    <t>Diskonteeritud investeeringud</t>
  </si>
  <si>
    <t>Diskonteeritud tulud</t>
  </si>
  <si>
    <t>Diskonteeritud Net Cash Flow</t>
  </si>
  <si>
    <t>NPV:</t>
  </si>
  <si>
    <t>Diskonteeritud akkumuleeritud Net Cash Flow</t>
  </si>
  <si>
    <t>Tähendus</t>
  </si>
  <si>
    <t>A. Otsene mõju</t>
  </si>
  <si>
    <t>B. Otsene + kaudne mõju</t>
  </si>
  <si>
    <t>NPV</t>
  </si>
  <si>
    <t>mln eurot</t>
  </si>
  <si>
    <t>PI</t>
  </si>
  <si>
    <t>IRR</t>
  </si>
  <si>
    <t>DPP</t>
  </si>
  <si>
    <t>aasta</t>
  </si>
  <si>
    <t>Сравнение основных показателей</t>
  </si>
  <si>
    <t>Дополнительные налоговые поступления (2016-2042)</t>
  </si>
  <si>
    <t>Дополнительный экспорт  (2016-2042)</t>
  </si>
  <si>
    <t>Дополнительные инвестиции (2016-2042)</t>
  </si>
  <si>
    <t>Дополнительные постоянные рабочие места  (2016-2042)</t>
  </si>
  <si>
    <t>Дополнительные рабочие места  (2016-2042)</t>
  </si>
  <si>
    <t>чел.</t>
  </si>
  <si>
    <t>Kogus</t>
  </si>
  <si>
    <t>Maksumus</t>
  </si>
  <si>
    <t>Osa</t>
  </si>
  <si>
    <t>Ehitus</t>
  </si>
  <si>
    <t>Hoone</t>
  </si>
  <si>
    <t>Sisustus</t>
  </si>
  <si>
    <t>Офисы</t>
  </si>
  <si>
    <t>Roheline energia</t>
  </si>
  <si>
    <t>Päikesepaneelid</t>
  </si>
  <si>
    <t>Tootmisseadmed</t>
  </si>
  <si>
    <t>komplekt</t>
  </si>
  <si>
    <t>Amortisatsioon</t>
  </si>
  <si>
    <t>Eelarve</t>
  </si>
  <si>
    <t>EUR/kuus</t>
  </si>
  <si>
    <t>EUR/aastas</t>
  </si>
  <si>
    <t>% kõikidest tuludest</t>
  </si>
  <si>
    <t>Tulud</t>
  </si>
  <si>
    <t>Üüritulu</t>
  </si>
  <si>
    <t>Tulu Inkubantidelt ühiste ja kommunaalkulude eest</t>
  </si>
  <si>
    <t>Tulud kokku</t>
  </si>
  <si>
    <t>Kulud</t>
  </si>
  <si>
    <t>% kõikidest kuludest</t>
  </si>
  <si>
    <t>% tegevuskuludest</t>
  </si>
  <si>
    <t>Tegevuskulud</t>
  </si>
  <si>
    <t>Kommunaalteenused</t>
  </si>
  <si>
    <t>Personalikulud</t>
  </si>
  <si>
    <t>Tegevuskulud kokku</t>
  </si>
  <si>
    <t>EBITDA</t>
  </si>
  <si>
    <t>Kulud kokku</t>
  </si>
  <si>
    <t>Kasum</t>
  </si>
  <si>
    <t>Summaarsed näitajad peale Narva Tööstusinkubaatori käivitamist</t>
  </si>
  <si>
    <t>5 aastat</t>
  </si>
  <si>
    <t>10 aastat</t>
  </si>
  <si>
    <t>Uued töökohad, in</t>
  </si>
  <si>
    <t>Maksude täiendav laekumine, mln eurot</t>
  </si>
  <si>
    <t>sh sotsiaalmaks, mln eurot</t>
  </si>
  <si>
    <t>sh tulumaks, mln eurot</t>
  </si>
  <si>
    <t>sh KM, mln eurot</t>
  </si>
  <si>
    <t>sh laekumine kohalikesse eelarvetesse, mln eurot</t>
  </si>
  <si>
    <t>Täiendavad otsesed investeeringud, mln eurot</t>
  </si>
  <si>
    <t>Ekspordi kasv regioonis, mln eurot</t>
  </si>
  <si>
    <t>Lisandväärtuse kasv, mln eurot</t>
  </si>
  <si>
    <t>ДОХОДЫ</t>
  </si>
  <si>
    <t>Аренда</t>
  </si>
  <si>
    <t>Цена</t>
  </si>
  <si>
    <t>Площадь</t>
  </si>
  <si>
    <t>Стоимость max</t>
  </si>
  <si>
    <t>Стоимость с учетом заполняемости</t>
  </si>
  <si>
    <t>Доля в стоимости</t>
  </si>
  <si>
    <t>евро/мес</t>
  </si>
  <si>
    <t>м2</t>
  </si>
  <si>
    <t>евро/год</t>
  </si>
  <si>
    <t>Производственный корпус</t>
  </si>
  <si>
    <t>Административный корпус</t>
  </si>
  <si>
    <t>2.1.</t>
  </si>
  <si>
    <t>2.2.</t>
  </si>
  <si>
    <t>Столовая</t>
  </si>
  <si>
    <t>Всего (max)</t>
  </si>
  <si>
    <t>Счета инкубантам за общие и коммунальные расходы</t>
  </si>
  <si>
    <t>стоимость, евро/мес</t>
  </si>
  <si>
    <t>стоимость, евро/год</t>
  </si>
  <si>
    <t>Всего с учетом заполняемости</t>
  </si>
  <si>
    <t>ВСЕГО</t>
  </si>
  <si>
    <t>РАСХОДЫ</t>
  </si>
  <si>
    <t>в месяц</t>
  </si>
  <si>
    <t>в год</t>
  </si>
  <si>
    <t>в т.ч. расходы оплачиваемые клиентами</t>
  </si>
  <si>
    <t>в т.ч. расходы оплачиваемые IVIA</t>
  </si>
  <si>
    <t>Затраты производст.арендаторов</t>
  </si>
  <si>
    <t>Затраты контрских.арендаторов</t>
  </si>
  <si>
    <t>Расходы деятельности</t>
  </si>
  <si>
    <t>Коммунальные услуги</t>
  </si>
  <si>
    <t>Отопление</t>
  </si>
  <si>
    <t>МВт/год</t>
  </si>
  <si>
    <t>Сдаваемые в аренду помещения</t>
  </si>
  <si>
    <t>Пустующие помещения</t>
  </si>
  <si>
    <t>Пустующие продуктивные помещения</t>
  </si>
  <si>
    <t>Общие помещения</t>
  </si>
  <si>
    <t>Освещение</t>
  </si>
  <si>
    <t>кВт/год</t>
  </si>
  <si>
    <t>кВт*ч/год</t>
  </si>
  <si>
    <t xml:space="preserve">Вода и канализация </t>
  </si>
  <si>
    <t>м3</t>
  </si>
  <si>
    <t xml:space="preserve"> в т.ч. холодная вода</t>
  </si>
  <si>
    <t>в т.ч. горячая вода</t>
  </si>
  <si>
    <t>Подогрев горячей воды</t>
  </si>
  <si>
    <t>Расходы персонала</t>
  </si>
  <si>
    <t>брутто-зп, евро</t>
  </si>
  <si>
    <t>Ремонтные работы</t>
  </si>
  <si>
    <t>Затраты на перестройку перегородок</t>
  </si>
  <si>
    <t>Сан ремонт, после обновления инкубантов</t>
  </si>
  <si>
    <t>Текущий ремонт</t>
  </si>
  <si>
    <t>Техобслуживание</t>
  </si>
  <si>
    <t>Обслуживание техносистем</t>
  </si>
  <si>
    <t xml:space="preserve">пожарн, отоплен, электр, вент </t>
  </si>
  <si>
    <t>Обслуживание ICT и автоматика систем (в т.ч. сервер)</t>
  </si>
  <si>
    <t>Маркетинг</t>
  </si>
  <si>
    <t>Объявления на city24.ee и kv.ee</t>
  </si>
  <si>
    <t>Реклама в местных СМИ</t>
  </si>
  <si>
    <t>Внешняя реклама</t>
  </si>
  <si>
    <t>Маркетинг на внешних рынках</t>
  </si>
  <si>
    <t>Hooldus (административное здание)</t>
  </si>
  <si>
    <t>Уборка административного корпуса</t>
  </si>
  <si>
    <t>2 раза х неделя х 8 ч. х 10 евро + 700/год</t>
  </si>
  <si>
    <t>Вывоз бытового мусора</t>
  </si>
  <si>
    <t>Hooldus (территория)</t>
  </si>
  <si>
    <t>Уборка внешней территорий</t>
  </si>
  <si>
    <t>1/месяц х 8ч х 10 евро х 7 мес</t>
  </si>
  <si>
    <t>Покосы</t>
  </si>
  <si>
    <t>600 евро в месяц х 3 месяца</t>
  </si>
  <si>
    <t>Снег на территории</t>
  </si>
  <si>
    <t>Снег с крыши</t>
  </si>
  <si>
    <t>Охрана</t>
  </si>
  <si>
    <t>Страховка</t>
  </si>
  <si>
    <t>% инвестиций</t>
  </si>
  <si>
    <t>Прочее</t>
  </si>
  <si>
    <t>Закупка хозтоваров, концтовары</t>
  </si>
  <si>
    <t>Связь, интернет</t>
  </si>
  <si>
    <t>Всего расходы деятельности</t>
  </si>
  <si>
    <t>Амортизации</t>
  </si>
  <si>
    <t>Всего амортизация</t>
  </si>
  <si>
    <t>Elektriliitumine ja liitumine keskküttega</t>
  </si>
  <si>
    <t>Talakraanad</t>
  </si>
  <si>
    <t>Köök</t>
  </si>
  <si>
    <t>tk</t>
  </si>
  <si>
    <t>Üüritulu tootmispindadelt</t>
  </si>
  <si>
    <t>Üüritulu büroopindadelt</t>
  </si>
  <si>
    <t>Eur/aastas</t>
  </si>
  <si>
    <t>Tulu üürnikelt otseste kommunaalteenuste eest</t>
  </si>
  <si>
    <t>Tulu üürnikelt jagatud kulude eest</t>
  </si>
  <si>
    <t>1 tootmisettevõtte keskmine pindala</t>
  </si>
  <si>
    <t>Periood peale projekti realiseerimist (aastad)</t>
  </si>
  <si>
    <t>Perioodi näitajad kokku</t>
  </si>
  <si>
    <t>3 aasta</t>
  </si>
  <si>
    <t>5 aasta</t>
  </si>
  <si>
    <t>10 aasta</t>
  </si>
  <si>
    <t>13 aasta</t>
  </si>
  <si>
    <t>13 aastat</t>
  </si>
  <si>
    <t>Büroohoone</t>
  </si>
  <si>
    <t>1. korrus</t>
  </si>
  <si>
    <t>2. korrus</t>
  </si>
  <si>
    <t>3. korrus</t>
  </si>
  <si>
    <t>Pindala, m2</t>
  </si>
  <si>
    <t>Brutto, m2</t>
  </si>
  <si>
    <t>Üürile anda ruumid, m2</t>
  </si>
  <si>
    <t>Ruumid ei üürita, m2</t>
  </si>
  <si>
    <t>Brutto, m3</t>
  </si>
  <si>
    <t>Üürile anda ruumid, m3</t>
  </si>
  <si>
    <t>Ruumid ei üürita, m3</t>
  </si>
  <si>
    <t>Maht, m3</t>
  </si>
  <si>
    <t>PINDALA</t>
  </si>
  <si>
    <t>Haldusjuht</t>
  </si>
  <si>
    <t>Soft-landing konsultant</t>
  </si>
  <si>
    <t>Turundusjuht</t>
  </si>
  <si>
    <t>Seadmed</t>
  </si>
  <si>
    <t>Küttetrass</t>
  </si>
  <si>
    <t>Mööbel</t>
  </si>
  <si>
    <t>Võrguühendused</t>
  </si>
  <si>
    <t>Liitumine</t>
  </si>
  <si>
    <t>Narva Tööstusinkubaatori rajamine</t>
  </si>
  <si>
    <t>Sihtasutus Ida-Viru Investeeringute Agentuur</t>
  </si>
  <si>
    <t>Teet Kuusmik</t>
  </si>
  <si>
    <t>teet.kuusmik@ivia.ee</t>
  </si>
  <si>
    <t>Objekt kuulub kategooriasse Äriinfrastruktuur. Selle kategooria puhul on RM juhendi järgi arvestusperioodi pikkus 10-15 aastat. Maksimaalse perioodi valimisel lähtuti realistlikust perioodist, mil ehitatud infrastruktuur ei nõua suuri renoveerimiskulusid.</t>
  </si>
  <si>
    <t>01.01.2023</t>
  </si>
  <si>
    <t>31.12.2037</t>
  </si>
  <si>
    <t>Toetus ÕÜF meetmest "Ettevõtluse mitmekesistamise tugiteenused ja -taristu" TARISTU</t>
  </si>
  <si>
    <t>Toetus ÕÜF meetmest "Ettevõtluse mitmekesistamise tugiteenused ja -taristu" TUGITEENUSED</t>
  </si>
  <si>
    <t>IVIA laen</t>
  </si>
  <si>
    <t>IVIA laenu tagastamine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</si>
</sst>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00"/>
    <numFmt numFmtId="174" formatCode="0.0"/>
    <numFmt numFmtId="175" formatCode="#,##0.0"/>
    <numFmt numFmtId="176" formatCode="#,##0.0,,;;"/>
    <numFmt numFmtId="177" formatCode="#,##0,,;;"/>
    <numFmt numFmtId="178" formatCode="#,##0.00,,;;"/>
    <numFmt numFmtId="179" formatCode="#,##0.00,,;\-#,##0.00,,;"/>
    <numFmt numFmtId="180" formatCode="#,##0,,;\-#,##0,,;"/>
    <numFmt numFmtId="181" formatCode="#,##0.00,,;\-#,##0.00,,;0"/>
  </numFmts>
  <fonts count="12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b/>
      <strike/>
      <sz val="12"/>
      <color rgb="FFCC6600"/>
      <name val="Calibri"/>
      <family val="2"/>
      <charset val="186"/>
      <scheme val="minor"/>
    </font>
    <font>
      <sz val="11"/>
      <color rgb="FFFF0000"/>
      <name val="Calibri"/>
      <family val="2"/>
      <charset val="204"/>
      <scheme val="minor"/>
    </font>
    <font>
      <b/>
      <sz val="11"/>
      <color theme="1"/>
      <name val="Calibri"/>
      <family val="2"/>
      <charset val="204"/>
      <scheme val="minor"/>
    </font>
    <font>
      <sz val="11"/>
      <color rgb="FFFF0000"/>
      <name val="Calibri"/>
      <family val="2"/>
      <charset val="186"/>
      <scheme val="minor"/>
    </font>
    <font>
      <b/>
      <sz val="11"/>
      <name val="Times New Roman"/>
      <family val="1"/>
      <charset val="204"/>
    </font>
    <font>
      <sz val="11"/>
      <name val="Times New Roman"/>
      <family val="1"/>
      <charset val="204"/>
    </font>
    <font>
      <i/>
      <sz val="11"/>
      <name val="Times New Roman"/>
      <family val="1"/>
      <charset val="204"/>
    </font>
    <font>
      <sz val="11"/>
      <color theme="1"/>
      <name val="Times New Roman"/>
      <family val="1"/>
      <charset val="204"/>
    </font>
    <font>
      <sz val="10"/>
      <name val="Arial"/>
      <family val="2"/>
      <charset val="204"/>
    </font>
    <font>
      <sz val="9"/>
      <color rgb="FFFF0000"/>
      <name val="Times New Roman"/>
      <family val="1"/>
      <charset val="204"/>
    </font>
    <font>
      <sz val="9"/>
      <name val="Times New Roman"/>
      <family val="1"/>
      <charset val="204"/>
    </font>
    <font>
      <sz val="9"/>
      <color indexed="9"/>
      <name val="Times New Roman"/>
      <family val="1"/>
      <charset val="204"/>
    </font>
    <font>
      <b/>
      <i/>
      <sz val="9"/>
      <color indexed="22"/>
      <name val="Times New Roman"/>
      <family val="1"/>
      <charset val="204"/>
    </font>
    <font>
      <sz val="9"/>
      <color theme="8"/>
      <name val="Times New Roman"/>
      <family val="1"/>
      <charset val="204"/>
    </font>
    <font>
      <b/>
      <i/>
      <sz val="9"/>
      <name val="Times New Roman"/>
      <family val="1"/>
      <charset val="204"/>
    </font>
    <font>
      <b/>
      <sz val="9"/>
      <name val="Times New Roman"/>
      <family val="1"/>
      <charset val="204"/>
    </font>
    <font>
      <sz val="9"/>
      <color theme="1"/>
      <name val="Times New Roman"/>
      <family val="1"/>
      <charset val="204"/>
    </font>
    <font>
      <i/>
      <sz val="9"/>
      <name val="Times New Roman"/>
      <family val="1"/>
      <charset val="204"/>
    </font>
    <font>
      <b/>
      <sz val="9"/>
      <color rgb="FFFF0000"/>
      <name val="Times New Roman"/>
      <family val="1"/>
      <charset val="204"/>
    </font>
    <font>
      <sz val="10"/>
      <name val="Times New Roman"/>
      <family val="1"/>
      <charset val="204"/>
    </font>
    <font>
      <b/>
      <u/>
      <sz val="11"/>
      <name val="Times New Roman"/>
      <family val="1"/>
      <charset val="204"/>
    </font>
    <font>
      <u/>
      <sz val="11"/>
      <name val="Times New Roman"/>
      <family val="1"/>
      <charset val="204"/>
    </font>
    <font>
      <sz val="12"/>
      <name val="Times New Roman"/>
      <family val="1"/>
      <charset val="204"/>
    </font>
    <font>
      <sz val="12"/>
      <color theme="0"/>
      <name val="Times New Roman"/>
      <family val="1"/>
      <charset val="204"/>
    </font>
    <font>
      <sz val="10"/>
      <color theme="1"/>
      <name val="Times New Roman"/>
      <family val="1"/>
      <charset val="204"/>
    </font>
    <font>
      <sz val="9"/>
      <color indexed="81"/>
      <name val="Tahoma"/>
      <family val="2"/>
      <charset val="204"/>
    </font>
    <font>
      <b/>
      <sz val="11"/>
      <color rgb="FFFF0000"/>
      <name val="Times New Roman"/>
      <family val="1"/>
      <charset val="204"/>
    </font>
    <font>
      <b/>
      <sz val="11"/>
      <color theme="1"/>
      <name val="Times New Roman"/>
      <family val="1"/>
      <charset val="204"/>
    </font>
    <font>
      <i/>
      <sz val="11"/>
      <color rgb="FFFF0000"/>
      <name val="Times New Roman"/>
      <family val="1"/>
      <charset val="204"/>
    </font>
    <font>
      <b/>
      <i/>
      <sz val="11"/>
      <name val="Times New Roman"/>
      <family val="1"/>
      <charset val="204"/>
    </font>
    <font>
      <sz val="12"/>
      <color theme="1"/>
      <name val="Times New Roman"/>
      <family val="1"/>
      <charset val="204"/>
    </font>
    <font>
      <sz val="9"/>
      <color rgb="FFFF0000"/>
      <name val="Calibri"/>
      <family val="2"/>
      <charset val="204"/>
      <scheme val="minor"/>
    </font>
    <font>
      <sz val="10.5"/>
      <color rgb="FFFF0000"/>
      <name val="Calibri"/>
      <family val="2"/>
      <charset val="204"/>
      <scheme val="minor"/>
    </font>
    <font>
      <b/>
      <i/>
      <sz val="11"/>
      <color theme="1"/>
      <name val="Calibri"/>
      <family val="2"/>
      <charset val="204"/>
      <scheme val="minor"/>
    </font>
    <font>
      <i/>
      <sz val="11"/>
      <color theme="1"/>
      <name val="Calibri"/>
      <family val="2"/>
      <charset val="204"/>
      <scheme val="minor"/>
    </font>
    <font>
      <b/>
      <i/>
      <sz val="11"/>
      <name val="Calibri"/>
      <family val="2"/>
      <charset val="204"/>
      <scheme val="minor"/>
    </font>
    <font>
      <b/>
      <i/>
      <sz val="11"/>
      <color rgb="FFFF0000"/>
      <name val="Calibri"/>
      <family val="2"/>
      <charset val="204"/>
      <scheme val="minor"/>
    </font>
    <font>
      <i/>
      <sz val="11"/>
      <name val="Calibri"/>
      <family val="2"/>
      <charset val="204"/>
      <scheme val="minor"/>
    </font>
    <font>
      <b/>
      <sz val="11"/>
      <name val="Calibri"/>
      <family val="2"/>
      <charset val="204"/>
      <scheme val="minor"/>
    </font>
    <font>
      <b/>
      <sz val="11"/>
      <color rgb="FFFF0000"/>
      <name val="Calibri"/>
      <family val="2"/>
      <charset val="204"/>
      <scheme val="minor"/>
    </font>
    <font>
      <sz val="10"/>
      <color theme="1"/>
      <name val="Calibri"/>
      <family val="2"/>
      <charset val="204"/>
      <scheme val="minor"/>
    </font>
    <font>
      <sz val="11"/>
      <color rgb="FF0033CC"/>
      <name val="Calibri"/>
      <family val="2"/>
      <charset val="204"/>
      <scheme val="minor"/>
    </font>
    <font>
      <sz val="11"/>
      <name val="Calibri"/>
      <family val="2"/>
      <charset val="204"/>
      <scheme val="minor"/>
    </font>
    <font>
      <i/>
      <sz val="9"/>
      <color theme="1"/>
      <name val="Calibri"/>
      <family val="2"/>
      <charset val="204"/>
      <scheme val="minor"/>
    </font>
    <font>
      <sz val="9"/>
      <color theme="1"/>
      <name val="Calibri"/>
      <family val="2"/>
      <charset val="204"/>
      <scheme val="minor"/>
    </font>
    <font>
      <sz val="9"/>
      <name val="Calibri"/>
      <family val="2"/>
      <charset val="204"/>
      <scheme val="minor"/>
    </font>
    <font>
      <sz val="8"/>
      <color theme="1"/>
      <name val="Calibri"/>
      <family val="2"/>
      <charset val="204"/>
      <scheme val="minor"/>
    </font>
    <font>
      <sz val="9"/>
      <color theme="0"/>
      <name val="Calibri"/>
      <family val="2"/>
      <charset val="204"/>
      <scheme val="minor"/>
    </font>
    <font>
      <b/>
      <i/>
      <sz val="11"/>
      <color theme="1"/>
      <name val="Times New Roman"/>
      <family val="1"/>
      <charset val="204"/>
    </font>
    <font>
      <b/>
      <sz val="11"/>
      <name val="Calibri"/>
      <family val="2"/>
      <charset val="186"/>
      <scheme val="minor"/>
    </font>
    <font>
      <sz val="12"/>
      <name val="Calibri"/>
      <family val="2"/>
      <charset val="186"/>
      <scheme val="minor"/>
    </font>
    <font>
      <sz val="11"/>
      <name val="Calibri"/>
      <family val="2"/>
      <scheme val="minor"/>
    </font>
    <font>
      <sz val="9"/>
      <color indexed="81"/>
      <name val="Segoe UI"/>
      <family val="2"/>
    </font>
    <font>
      <b/>
      <sz val="9"/>
      <color indexed="81"/>
      <name val="Segoe UI"/>
      <family val="2"/>
    </font>
  </fonts>
  <fills count="3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theme="0"/>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medium">
        <color indexed="64"/>
      </left>
      <right style="thin">
        <color theme="0"/>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15">
    <xf numFmtId="0" fontId="0" fillId="0" borderId="0"/>
    <xf numFmtId="9" fontId="35" fillId="0" borderId="0" applyFont="0" applyFill="0" applyBorder="0" applyAlignment="0" applyProtection="0"/>
    <xf numFmtId="0" fontId="51" fillId="0" borderId="0" applyNumberFormat="0" applyFill="0" applyBorder="0" applyAlignment="0" applyProtection="0"/>
    <xf numFmtId="0" fontId="2" fillId="0" borderId="0"/>
    <xf numFmtId="0" fontId="75" fillId="0" borderId="0"/>
    <xf numFmtId="9" fontId="75"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1071">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0" fillId="2" borderId="2" xfId="0" applyFill="1" applyBorder="1" applyAlignment="1">
      <alignment horizontal="center" vertical="center"/>
    </xf>
    <xf numFmtId="0" fontId="6" fillId="0" borderId="0" xfId="0" applyFont="1" applyAlignment="1">
      <alignment horizontal="left" vertical="center" indent="1"/>
    </xf>
    <xf numFmtId="167" fontId="6" fillId="0" borderId="0" xfId="0" applyNumberFormat="1" applyFont="1" applyAlignment="1">
      <alignment horizontal="center"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6" fillId="0" borderId="0" xfId="0" applyNumberFormat="1" applyFont="1" applyAlignment="1">
      <alignment horizontal="center" vertical="center" shrinkToFit="1"/>
    </xf>
    <xf numFmtId="167" fontId="6"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3" fillId="0" borderId="0" xfId="0" applyNumberFormat="1" applyFont="1" applyAlignment="1">
      <alignment horizontal="center" vertical="center" shrinkToFit="1"/>
    </xf>
    <xf numFmtId="167" fontId="3"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8"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indent="1"/>
    </xf>
    <xf numFmtId="0" fontId="8"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6" fillId="0" borderId="0" xfId="0" applyFont="1" applyAlignment="1">
      <alignment horizontal="left" vertical="center" indent="2"/>
    </xf>
    <xf numFmtId="0" fontId="16" fillId="0" borderId="0" xfId="0" applyFont="1" applyAlignment="1">
      <alignment horizontal="center" vertical="center"/>
    </xf>
    <xf numFmtId="0" fontId="21"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indent="1"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left" vertical="center" indent="1" shrinkToFit="1"/>
    </xf>
    <xf numFmtId="0" fontId="25"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3"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3"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3" fillId="8" borderId="1" xfId="0" applyFont="1" applyFill="1" applyBorder="1" applyAlignment="1">
      <alignment horizontal="left" vertical="center" indent="1" shrinkToFit="1"/>
    </xf>
    <xf numFmtId="0" fontId="3" fillId="8" borderId="1" xfId="0" applyFont="1" applyFill="1" applyBorder="1" applyAlignment="1">
      <alignment horizontal="center" vertical="center" shrinkToFit="1"/>
    </xf>
    <xf numFmtId="167" fontId="3"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7" fillId="7" borderId="1" xfId="0" applyFont="1" applyFill="1" applyBorder="1" applyAlignment="1">
      <alignment horizontal="center" vertical="center" shrinkToFit="1"/>
    </xf>
    <xf numFmtId="167" fontId="6" fillId="7" borderId="1" xfId="0" applyNumberFormat="1" applyFont="1" applyFill="1" applyBorder="1" applyAlignment="1">
      <alignment horizontal="center" vertical="center" shrinkToFit="1"/>
    </xf>
    <xf numFmtId="167" fontId="3" fillId="7" borderId="1" xfId="0" applyNumberFormat="1" applyFont="1" applyFill="1" applyBorder="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left" vertical="center" indent="1" shrinkToFit="1"/>
    </xf>
    <xf numFmtId="0" fontId="27" fillId="0" borderId="0" xfId="0" applyFont="1" applyAlignment="1">
      <alignment horizontal="center" vertical="center" shrinkToFit="1"/>
    </xf>
    <xf numFmtId="0" fontId="27" fillId="0" borderId="2" xfId="0" applyFont="1" applyBorder="1" applyAlignment="1">
      <alignment horizontal="center" vertical="top"/>
    </xf>
    <xf numFmtId="0" fontId="27" fillId="0" borderId="3" xfId="0" applyFont="1" applyBorder="1" applyAlignment="1">
      <alignment horizontal="left" vertical="top" shrinkToFit="1"/>
    </xf>
    <xf numFmtId="0" fontId="27" fillId="0" borderId="3" xfId="0" applyFont="1" applyBorder="1" applyAlignment="1">
      <alignment horizontal="center" vertical="top" shrinkToFit="1"/>
    </xf>
    <xf numFmtId="167" fontId="27" fillId="0" borderId="3" xfId="0" applyNumberFormat="1" applyFont="1" applyBorder="1" applyAlignment="1">
      <alignment horizontal="center" vertical="top" shrinkToFit="1"/>
    </xf>
    <xf numFmtId="167" fontId="27" fillId="0" borderId="0" xfId="0" applyNumberFormat="1" applyFont="1" applyAlignment="1">
      <alignment horizontal="center" vertical="top" shrinkToFit="1"/>
    </xf>
    <xf numFmtId="167" fontId="27" fillId="0" borderId="0" xfId="0" applyNumberFormat="1" applyFont="1" applyAlignment="1">
      <alignment horizontal="center" vertical="top"/>
    </xf>
    <xf numFmtId="0" fontId="27"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0"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3" fillId="2" borderId="4" xfId="0" applyNumberFormat="1" applyFont="1" applyFill="1" applyBorder="1" applyAlignment="1">
      <alignment horizontal="center" vertical="center" shrinkToFit="1"/>
    </xf>
    <xf numFmtId="0" fontId="7" fillId="1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29" fillId="0" borderId="2" xfId="0" applyFont="1" applyBorder="1" applyAlignment="1">
      <alignment horizontal="center" vertical="center"/>
    </xf>
    <xf numFmtId="0" fontId="31" fillId="0" borderId="1" xfId="0" applyFont="1" applyBorder="1" applyAlignment="1">
      <alignment horizontal="center" vertical="center"/>
    </xf>
    <xf numFmtId="0" fontId="29"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29" fillId="0" borderId="4" xfId="0" applyFont="1" applyBorder="1" applyAlignment="1">
      <alignment horizontal="left" vertical="center" indent="1"/>
    </xf>
    <xf numFmtId="0" fontId="29"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3"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3" fillId="2" borderId="4" xfId="0" applyNumberFormat="1" applyFont="1" applyFill="1" applyBorder="1" applyAlignment="1">
      <alignment horizontal="center" vertical="center" shrinkToFit="1"/>
    </xf>
    <xf numFmtId="166" fontId="6" fillId="2" borderId="4" xfId="0" applyNumberFormat="1" applyFont="1" applyFill="1" applyBorder="1" applyAlignment="1">
      <alignment horizontal="center" vertical="center" shrinkToFit="1"/>
    </xf>
    <xf numFmtId="166" fontId="6" fillId="10" borderId="1" xfId="0" applyNumberFormat="1" applyFont="1" applyFill="1" applyBorder="1" applyAlignment="1">
      <alignment horizontal="center" vertical="center" shrinkToFit="1"/>
    </xf>
    <xf numFmtId="0" fontId="28" fillId="0" borderId="0" xfId="0" applyFont="1" applyAlignment="1">
      <alignment horizontal="left" vertical="center" indent="1"/>
    </xf>
    <xf numFmtId="0" fontId="34" fillId="0" borderId="1" xfId="0" applyFont="1" applyBorder="1" applyAlignment="1">
      <alignment horizontal="center" vertical="center" wrapText="1"/>
    </xf>
    <xf numFmtId="168" fontId="30" fillId="0" borderId="0" xfId="0" applyNumberFormat="1" applyFont="1" applyAlignment="1">
      <alignment horizontal="center" vertical="center"/>
    </xf>
    <xf numFmtId="0" fontId="36"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37" fillId="0" borderId="0" xfId="0" applyFont="1" applyAlignment="1">
      <alignment horizontal="left" vertical="center"/>
    </xf>
    <xf numFmtId="9" fontId="38"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39" fillId="0" borderId="1" xfId="0" applyFont="1" applyBorder="1" applyAlignment="1">
      <alignment horizontal="left" vertical="center" indent="1"/>
    </xf>
    <xf numFmtId="0" fontId="3"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3"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6" fillId="0" borderId="0" xfId="0" applyFont="1" applyAlignment="1">
      <alignment horizontal="left" vertical="center" indent="1"/>
    </xf>
    <xf numFmtId="0" fontId="41" fillId="0" borderId="1" xfId="0" applyFont="1" applyBorder="1" applyAlignment="1">
      <alignment horizontal="left" vertical="center" indent="1"/>
    </xf>
    <xf numFmtId="0" fontId="41" fillId="0" borderId="1" xfId="0" applyFont="1" applyBorder="1" applyAlignment="1">
      <alignment horizontal="center" vertical="center"/>
    </xf>
    <xf numFmtId="170" fontId="27" fillId="0" borderId="0" xfId="0" applyNumberFormat="1" applyFont="1" applyAlignment="1">
      <alignment horizontal="center" vertical="center"/>
    </xf>
    <xf numFmtId="171" fontId="0" fillId="0" borderId="1" xfId="0" applyNumberFormat="1" applyBorder="1" applyAlignment="1">
      <alignment horizontal="center" vertical="center"/>
    </xf>
    <xf numFmtId="0" fontId="31" fillId="0" borderId="0" xfId="0" applyFont="1" applyAlignment="1">
      <alignment horizontal="left" vertical="center" indent="1"/>
    </xf>
    <xf numFmtId="0" fontId="30"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3" fillId="0" borderId="1" xfId="0" applyFont="1" applyBorder="1" applyAlignment="1">
      <alignment horizontal="left" vertical="center" wrapText="1" indent="1"/>
    </xf>
    <xf numFmtId="168" fontId="44" fillId="0" borderId="0" xfId="1" applyNumberFormat="1" applyFont="1" applyAlignment="1">
      <alignment horizontal="center" vertical="center"/>
    </xf>
    <xf numFmtId="168" fontId="44"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0"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9" fillId="0" borderId="0" xfId="0" applyFont="1" applyAlignment="1" applyProtection="1">
      <alignment horizontal="left" vertical="center"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left" vertical="center" indent="1" shrinkToFit="1"/>
      <protection locked="0"/>
    </xf>
    <xf numFmtId="0" fontId="14"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8"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8"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3" fillId="3" borderId="1" xfId="0" applyNumberFormat="1" applyFont="1" applyFill="1" applyBorder="1" applyAlignment="1" applyProtection="1">
      <alignment horizontal="center" vertical="center" shrinkToFit="1"/>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167" fontId="6" fillId="4" borderId="1"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6"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7" fontId="3"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3" fillId="0" borderId="0" xfId="0" applyNumberFormat="1" applyFont="1" applyAlignment="1" applyProtection="1">
      <alignment horizontal="center" vertical="center" shrinkToFit="1"/>
      <protection locked="0"/>
    </xf>
    <xf numFmtId="167"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167" fontId="6" fillId="0" borderId="0" xfId="0" applyNumberFormat="1" applyFont="1" applyAlignment="1" applyProtection="1">
      <alignment horizontal="center" vertical="center" shrinkToFit="1"/>
      <protection locked="0"/>
    </xf>
    <xf numFmtId="167" fontId="6"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6" fillId="0" borderId="1" xfId="0" applyNumberFormat="1" applyFont="1" applyBorder="1" applyAlignment="1" applyProtection="1">
      <alignment horizontal="center" vertical="center" shrinkToFit="1"/>
      <protection locked="0"/>
    </xf>
    <xf numFmtId="0" fontId="15" fillId="0" borderId="0" xfId="0" applyFont="1" applyAlignment="1" applyProtection="1">
      <alignment horizontal="left" vertical="center" indent="1"/>
      <protection locked="0"/>
    </xf>
    <xf numFmtId="0" fontId="16" fillId="0" borderId="0" xfId="0" applyFont="1" applyAlignment="1" applyProtection="1">
      <alignment horizontal="left" vertical="center" indent="2"/>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indent="1"/>
      <protection locked="0"/>
    </xf>
    <xf numFmtId="0" fontId="16" fillId="0" borderId="0" xfId="0" applyFont="1" applyAlignment="1" applyProtection="1">
      <alignment horizontal="left" vertical="center" indent="1" shrinkToFit="1"/>
      <protection locked="0"/>
    </xf>
    <xf numFmtId="0" fontId="16"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left" vertical="center" indent="1" shrinkToFit="1"/>
      <protection locked="0"/>
    </xf>
    <xf numFmtId="0" fontId="19"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3" fillId="5" borderId="1" xfId="0" applyNumberFormat="1" applyFont="1" applyFill="1" applyBorder="1" applyAlignment="1" applyProtection="1">
      <alignment horizontal="center" vertical="center" shrinkToFit="1"/>
      <protection locked="0"/>
    </xf>
    <xf numFmtId="0" fontId="3" fillId="5" borderId="1" xfId="0" applyFont="1" applyFill="1" applyBorder="1" applyAlignment="1" applyProtection="1">
      <alignment horizontal="left" vertical="center" indent="1" shrinkToFit="1"/>
      <protection locked="0"/>
    </xf>
    <xf numFmtId="0" fontId="3" fillId="5" borderId="1"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6"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167" fontId="3" fillId="6" borderId="1" xfId="0" applyNumberFormat="1" applyFont="1" applyFill="1" applyBorder="1" applyAlignment="1" applyProtection="1">
      <alignment horizontal="center" vertical="center" shrinkToFit="1"/>
      <protection locked="0"/>
    </xf>
    <xf numFmtId="0" fontId="7" fillId="6" borderId="1" xfId="0" applyFont="1" applyFill="1" applyBorder="1" applyAlignment="1" applyProtection="1">
      <alignment horizontal="center" vertical="center" shrinkToFit="1"/>
      <protection locked="0"/>
    </xf>
    <xf numFmtId="0" fontId="45" fillId="0" borderId="0" xfId="0" applyFont="1" applyAlignment="1">
      <alignment horizontal="left" vertical="center" indent="1"/>
    </xf>
    <xf numFmtId="0" fontId="46" fillId="0" borderId="0" xfId="0" applyFont="1" applyAlignment="1">
      <alignment horizontal="left" vertical="center" indent="1"/>
    </xf>
    <xf numFmtId="0" fontId="47" fillId="0" borderId="1" xfId="0" applyFont="1" applyBorder="1" applyAlignment="1">
      <alignment horizontal="left" vertical="center" indent="1"/>
    </xf>
    <xf numFmtId="0" fontId="48" fillId="0" borderId="1" xfId="0" applyFont="1" applyBorder="1" applyAlignment="1">
      <alignment horizontal="left" vertical="center" indent="1"/>
    </xf>
    <xf numFmtId="0" fontId="47" fillId="0" borderId="1" xfId="0"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vertical="center"/>
    </xf>
    <xf numFmtId="0" fontId="0" fillId="2" borderId="2" xfId="0" applyFill="1" applyBorder="1" applyAlignment="1">
      <alignment horizontal="left" vertical="center" indent="1"/>
    </xf>
    <xf numFmtId="0" fontId="46" fillId="2"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46"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46" fillId="2" borderId="3" xfId="0" applyFont="1" applyFill="1" applyBorder="1" applyAlignment="1">
      <alignment horizontal="center" vertical="center"/>
    </xf>
    <xf numFmtId="0" fontId="6" fillId="15" borderId="1" xfId="0" applyFont="1" applyFill="1" applyBorder="1" applyAlignment="1">
      <alignment horizontal="left" vertical="center" indent="1"/>
    </xf>
    <xf numFmtId="0" fontId="46" fillId="15" borderId="1" xfId="0" applyFont="1" applyFill="1" applyBorder="1" applyAlignment="1">
      <alignment horizontal="center" vertical="center"/>
    </xf>
    <xf numFmtId="167" fontId="6" fillId="15" borderId="1" xfId="0" applyNumberFormat="1" applyFont="1" applyFill="1" applyBorder="1" applyAlignment="1">
      <alignment horizontal="center" vertical="center" shrinkToFit="1"/>
    </xf>
    <xf numFmtId="0" fontId="6" fillId="0" borderId="0" xfId="0" applyFont="1" applyAlignment="1">
      <alignment vertical="center"/>
    </xf>
    <xf numFmtId="0" fontId="6" fillId="2" borderId="2" xfId="0" applyFont="1" applyFill="1" applyBorder="1" applyAlignment="1">
      <alignment horizontal="left" vertical="center" indent="1"/>
    </xf>
    <xf numFmtId="167" fontId="6" fillId="2" borderId="3" xfId="0" applyNumberFormat="1" applyFont="1" applyFill="1" applyBorder="1" applyAlignment="1">
      <alignment horizontal="center" vertical="center" shrinkToFit="1"/>
    </xf>
    <xf numFmtId="167" fontId="6"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6"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46"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6" fillId="2" borderId="1" xfId="0" applyFont="1" applyFill="1" applyBorder="1" applyAlignment="1">
      <alignment horizontal="center" vertical="center"/>
    </xf>
    <xf numFmtId="0" fontId="6" fillId="0" borderId="3" xfId="0" applyFont="1" applyBorder="1" applyAlignment="1">
      <alignment horizontal="left" vertical="center" indent="1"/>
    </xf>
    <xf numFmtId="167" fontId="6" fillId="0" borderId="3" xfId="0" applyNumberFormat="1" applyFont="1" applyBorder="1" applyAlignment="1">
      <alignment horizontal="center" vertical="center" shrinkToFit="1"/>
    </xf>
    <xf numFmtId="0" fontId="46" fillId="15" borderId="1" xfId="0" applyFont="1" applyFill="1" applyBorder="1" applyAlignment="1">
      <alignment horizontal="left" vertical="center" wrapText="1" indent="1"/>
    </xf>
    <xf numFmtId="167" fontId="46" fillId="15"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6" fillId="0" borderId="0" xfId="0" applyFont="1" applyAlignment="1">
      <alignment vertical="center"/>
    </xf>
    <xf numFmtId="0" fontId="49" fillId="0" borderId="0" xfId="0" applyFont="1" applyAlignment="1">
      <alignment horizontal="left" vertical="center" indent="1"/>
    </xf>
    <xf numFmtId="167" fontId="49" fillId="0" borderId="0" xfId="0" applyNumberFormat="1" applyFont="1" applyAlignment="1">
      <alignment horizontal="center" vertical="center" shrinkToFit="1"/>
    </xf>
    <xf numFmtId="0" fontId="49" fillId="0" borderId="0" xfId="0" applyFont="1" applyAlignment="1">
      <alignment horizontal="center" vertical="center"/>
    </xf>
    <xf numFmtId="0" fontId="49"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0"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6" fillId="0" borderId="4" xfId="0" applyNumberFormat="1" applyFont="1" applyBorder="1" applyAlignment="1">
      <alignment horizontal="center" vertical="center" shrinkToFit="1"/>
    </xf>
    <xf numFmtId="0" fontId="50" fillId="0" borderId="0" xfId="0" applyFont="1" applyAlignment="1">
      <alignment vertical="center"/>
    </xf>
    <xf numFmtId="0" fontId="31" fillId="0" borderId="7" xfId="0" applyFont="1" applyBorder="1" applyAlignment="1">
      <alignment horizontal="center" vertical="center"/>
    </xf>
    <xf numFmtId="0" fontId="10" fillId="0" borderId="0" xfId="0" applyFont="1" applyAlignment="1">
      <alignment horizontal="left" vertical="center" indent="1"/>
    </xf>
    <xf numFmtId="0" fontId="0" fillId="0" borderId="0" xfId="0" applyAlignment="1">
      <alignment horizontal="center" vertical="center" wrapTex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2" fillId="0" borderId="0" xfId="0" applyFont="1" applyAlignment="1">
      <alignment horizontal="left" vertical="center" indent="1"/>
    </xf>
    <xf numFmtId="0" fontId="12" fillId="0" borderId="12" xfId="0" applyFont="1" applyBorder="1" applyAlignment="1">
      <alignment horizontal="left" vertical="center" wrapText="1" indent="1"/>
    </xf>
    <xf numFmtId="0" fontId="6" fillId="17" borderId="1" xfId="0" applyFont="1" applyFill="1" applyBorder="1" applyAlignment="1">
      <alignment horizontal="left" vertical="center" wrapText="1" indent="1"/>
    </xf>
    <xf numFmtId="0" fontId="6"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6" fillId="17" borderId="1" xfId="0" applyNumberFormat="1" applyFont="1" applyFill="1" applyBorder="1" applyAlignment="1">
      <alignment horizontal="center" vertical="center"/>
    </xf>
    <xf numFmtId="0" fontId="52" fillId="0" borderId="0" xfId="0" applyFont="1" applyAlignment="1" applyProtection="1">
      <alignment horizontal="left" vertical="center" indent="1"/>
      <protection locked="0"/>
    </xf>
    <xf numFmtId="0" fontId="53" fillId="0" borderId="0" xfId="0" applyFont="1" applyAlignment="1">
      <alignment horizontal="left" vertical="center" indent="1"/>
    </xf>
    <xf numFmtId="0" fontId="46" fillId="0" borderId="0" xfId="0" applyFont="1" applyAlignment="1">
      <alignment horizontal="left" vertical="center"/>
    </xf>
    <xf numFmtId="0" fontId="54" fillId="0" borderId="1" xfId="0" applyFont="1" applyBorder="1" applyAlignment="1">
      <alignment horizontal="center" vertical="center"/>
    </xf>
    <xf numFmtId="0" fontId="54" fillId="0" borderId="0" xfId="0" applyFont="1" applyAlignment="1">
      <alignment horizontal="center"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0" borderId="0" xfId="0" applyFont="1" applyAlignment="1">
      <alignment horizontal="center" vertical="center"/>
    </xf>
    <xf numFmtId="0" fontId="54" fillId="0" borderId="1" xfId="0" applyFont="1" applyBorder="1" applyAlignment="1">
      <alignment horizontal="left" vertical="center" indent="1"/>
    </xf>
    <xf numFmtId="0" fontId="56"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46"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6" fillId="19" borderId="1" xfId="0" applyFont="1" applyFill="1" applyBorder="1" applyAlignment="1">
      <alignment horizontal="left" vertical="center" indent="1"/>
    </xf>
    <xf numFmtId="0" fontId="46" fillId="19" borderId="1" xfId="0" applyFont="1" applyFill="1" applyBorder="1" applyAlignment="1">
      <alignment horizontal="center" vertical="center"/>
    </xf>
    <xf numFmtId="167" fontId="6"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2" fillId="0" borderId="0" xfId="0" applyFont="1" applyAlignment="1">
      <alignment horizontal="center" vertical="center"/>
    </xf>
    <xf numFmtId="0" fontId="38"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57" fillId="0" borderId="0" xfId="0" applyFont="1" applyAlignment="1">
      <alignment horizontal="left" vertical="center" wrapText="1" indent="1"/>
    </xf>
    <xf numFmtId="0" fontId="58" fillId="0" borderId="0" xfId="0" applyFont="1" applyAlignment="1">
      <alignment horizontal="left" vertical="center" wrapText="1" indent="1"/>
    </xf>
    <xf numFmtId="0" fontId="0" fillId="22" borderId="1" xfId="0" applyFill="1" applyBorder="1" applyAlignment="1">
      <alignment horizontal="left" vertical="center" wrapText="1" indent="1"/>
    </xf>
    <xf numFmtId="0" fontId="37" fillId="0" borderId="0" xfId="0" applyFont="1" applyAlignment="1">
      <alignment horizontal="left" vertical="center" indent="1"/>
    </xf>
    <xf numFmtId="0" fontId="59" fillId="0" borderId="0" xfId="0" applyFont="1" applyAlignment="1">
      <alignment vertical="center"/>
    </xf>
    <xf numFmtId="0" fontId="0" fillId="0" borderId="0" xfId="0" applyAlignment="1">
      <alignment horizontal="right" vertical="center" indent="1"/>
    </xf>
    <xf numFmtId="0" fontId="61" fillId="0" borderId="0" xfId="0" applyFont="1" applyAlignment="1">
      <alignment horizontal="center" vertical="center"/>
    </xf>
    <xf numFmtId="0" fontId="0" fillId="10" borderId="10" xfId="0" applyFill="1" applyBorder="1" applyAlignment="1">
      <alignment horizontal="center" vertical="center"/>
    </xf>
    <xf numFmtId="3" fontId="46" fillId="23" borderId="10" xfId="0" applyNumberFormat="1" applyFont="1" applyFill="1" applyBorder="1" applyAlignment="1">
      <alignment horizontal="center" vertical="center"/>
    </xf>
    <xf numFmtId="0" fontId="62" fillId="0" borderId="1" xfId="0" applyFont="1" applyBorder="1" applyAlignment="1">
      <alignment horizontal="left" vertical="center" indent="1"/>
    </xf>
    <xf numFmtId="0" fontId="59" fillId="0" borderId="1" xfId="0" applyFont="1" applyBorder="1" applyAlignment="1">
      <alignment horizontal="center" vertical="center"/>
    </xf>
    <xf numFmtId="0" fontId="62" fillId="10" borderId="1" xfId="0" applyFont="1" applyFill="1" applyBorder="1" applyAlignment="1">
      <alignment horizontal="center" vertical="center"/>
    </xf>
    <xf numFmtId="0" fontId="62" fillId="23" borderId="1" xfId="0" applyFont="1" applyFill="1" applyBorder="1" applyAlignment="1">
      <alignment horizontal="center" vertical="center"/>
    </xf>
    <xf numFmtId="0" fontId="62"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46"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64" fillId="2" borderId="1" xfId="0" applyNumberFormat="1" applyFont="1" applyFill="1" applyBorder="1" applyAlignment="1">
      <alignment horizontal="left" vertical="center" shrinkToFit="1"/>
    </xf>
    <xf numFmtId="167" fontId="43" fillId="2" borderId="1" xfId="0" applyNumberFormat="1" applyFont="1" applyFill="1" applyBorder="1" applyAlignment="1">
      <alignment horizontal="right" vertical="center" shrinkToFit="1"/>
    </xf>
    <xf numFmtId="167" fontId="43" fillId="0" borderId="0" xfId="0" applyNumberFormat="1" applyFont="1" applyAlignment="1">
      <alignment horizontal="right" vertical="center" shrinkToFit="1"/>
    </xf>
    <xf numFmtId="167" fontId="43" fillId="0" borderId="0" xfId="0" applyNumberFormat="1" applyFont="1" applyAlignment="1">
      <alignment horizontal="right" vertical="center"/>
    </xf>
    <xf numFmtId="167" fontId="8" fillId="2" borderId="1" xfId="0" applyNumberFormat="1" applyFont="1" applyFill="1" applyBorder="1" applyAlignment="1">
      <alignment horizontal="center" vertical="center" shrinkToFit="1"/>
    </xf>
    <xf numFmtId="167" fontId="43" fillId="0" borderId="1" xfId="0" applyNumberFormat="1" applyFont="1" applyBorder="1" applyAlignment="1">
      <alignment horizontal="center" vertical="center" shrinkToFit="1"/>
    </xf>
    <xf numFmtId="167" fontId="43" fillId="0" borderId="1" xfId="0" applyNumberFormat="1" applyFont="1" applyBorder="1" applyAlignment="1">
      <alignment vertical="center" shrinkToFit="1"/>
    </xf>
    <xf numFmtId="167" fontId="43" fillId="0" borderId="0" xfId="0" applyNumberFormat="1" applyFont="1" applyAlignment="1">
      <alignment vertical="center" shrinkToFit="1"/>
    </xf>
    <xf numFmtId="167" fontId="43" fillId="0" borderId="0" xfId="0" applyNumberFormat="1" applyFont="1" applyAlignment="1">
      <alignment vertical="center"/>
    </xf>
    <xf numFmtId="167" fontId="43" fillId="2" borderId="1" xfId="0" applyNumberFormat="1" applyFont="1" applyFill="1" applyBorder="1" applyAlignment="1">
      <alignment horizontal="center" vertical="center" shrinkToFit="1"/>
    </xf>
    <xf numFmtId="167" fontId="43" fillId="2" borderId="1" xfId="0" applyNumberFormat="1" applyFont="1" applyFill="1" applyBorder="1" applyAlignment="1">
      <alignment vertical="center" shrinkToFit="1"/>
    </xf>
    <xf numFmtId="167" fontId="43"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43" fillId="0" borderId="0" xfId="0" applyNumberFormat="1" applyFont="1" applyAlignment="1">
      <alignment horizontal="left" vertical="center" indent="1"/>
    </xf>
    <xf numFmtId="167" fontId="43"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46" fillId="22" borderId="1" xfId="0" applyFont="1" applyFill="1" applyBorder="1" applyAlignment="1">
      <alignment horizontal="center" vertical="center"/>
    </xf>
    <xf numFmtId="0" fontId="65" fillId="0" borderId="0" xfId="0" applyFont="1" applyAlignment="1">
      <alignment vertical="center"/>
    </xf>
    <xf numFmtId="0" fontId="43" fillId="0" borderId="1" xfId="0" applyFont="1" applyBorder="1" applyAlignment="1">
      <alignment vertical="top" wrapText="1"/>
    </xf>
    <xf numFmtId="0" fontId="43" fillId="0" borderId="1" xfId="0" applyFont="1" applyBorder="1" applyAlignment="1">
      <alignment wrapText="1"/>
    </xf>
    <xf numFmtId="0" fontId="66" fillId="0" borderId="1" xfId="0" applyFont="1" applyBorder="1" applyAlignment="1">
      <alignment horizontal="left" vertical="center" wrapText="1" indent="1"/>
    </xf>
    <xf numFmtId="0" fontId="71" fillId="26" borderId="0" xfId="3" applyFont="1" applyFill="1"/>
    <xf numFmtId="0" fontId="72" fillId="26" borderId="0" xfId="3" applyFont="1" applyFill="1"/>
    <xf numFmtId="0" fontId="73" fillId="26" borderId="0" xfId="3" applyFont="1" applyFill="1"/>
    <xf numFmtId="0" fontId="74" fillId="0" borderId="0" xfId="3" applyFont="1"/>
    <xf numFmtId="0" fontId="73" fillId="26" borderId="0" xfId="3" applyFont="1" applyFill="1" applyAlignment="1">
      <alignment horizontal="right"/>
    </xf>
    <xf numFmtId="3" fontId="73" fillId="26" borderId="0" xfId="3" applyNumberFormat="1" applyFont="1" applyFill="1"/>
    <xf numFmtId="0" fontId="72" fillId="0" borderId="1" xfId="0" applyFont="1" applyBorder="1"/>
    <xf numFmtId="9" fontId="72" fillId="3" borderId="1" xfId="0" applyNumberFormat="1" applyFont="1" applyFill="1" applyBorder="1"/>
    <xf numFmtId="0" fontId="72" fillId="26" borderId="0" xfId="0" applyFont="1" applyFill="1"/>
    <xf numFmtId="0" fontId="72" fillId="3" borderId="1" xfId="0" applyFont="1" applyFill="1" applyBorder="1"/>
    <xf numFmtId="9" fontId="72" fillId="26" borderId="0" xfId="0" applyNumberFormat="1" applyFont="1" applyFill="1"/>
    <xf numFmtId="0" fontId="71" fillId="26" borderId="0" xfId="0" applyFont="1" applyFill="1"/>
    <xf numFmtId="0" fontId="73" fillId="26" borderId="0" xfId="0" applyFont="1" applyFill="1"/>
    <xf numFmtId="0" fontId="72" fillId="0" borderId="1" xfId="0" applyFont="1" applyBorder="1" applyAlignment="1">
      <alignment horizontal="left" indent="1"/>
    </xf>
    <xf numFmtId="173" fontId="73" fillId="26" borderId="0" xfId="0" applyNumberFormat="1" applyFont="1" applyFill="1"/>
    <xf numFmtId="0" fontId="72" fillId="27" borderId="1" xfId="0" applyFont="1" applyFill="1" applyBorder="1" applyAlignment="1">
      <alignment horizontal="left" indent="1"/>
    </xf>
    <xf numFmtId="0" fontId="72" fillId="27" borderId="1" xfId="0" applyFont="1" applyFill="1" applyBorder="1" applyAlignment="1">
      <alignment horizontal="left" vertical="top" wrapText="1"/>
    </xf>
    <xf numFmtId="0" fontId="72" fillId="27" borderId="1" xfId="0" applyFont="1" applyFill="1" applyBorder="1" applyAlignment="1">
      <alignment horizontal="center" vertical="top" wrapText="1"/>
    </xf>
    <xf numFmtId="0" fontId="72" fillId="0" borderId="1" xfId="0" applyFont="1" applyBorder="1" applyAlignment="1">
      <alignment horizontal="left" wrapText="1" indent="1"/>
    </xf>
    <xf numFmtId="0" fontId="72" fillId="3" borderId="1" xfId="0" applyFont="1" applyFill="1" applyBorder="1" applyAlignment="1">
      <alignment horizontal="center" wrapText="1"/>
    </xf>
    <xf numFmtId="0" fontId="72" fillId="3" borderId="1" xfId="0" applyFont="1" applyFill="1" applyBorder="1" applyAlignment="1">
      <alignment horizontal="left" wrapText="1"/>
    </xf>
    <xf numFmtId="0" fontId="72" fillId="0" borderId="1" xfId="0" applyFont="1" applyBorder="1" applyAlignment="1">
      <alignment horizontal="left" wrapText="1" indent="4"/>
    </xf>
    <xf numFmtId="2" fontId="72" fillId="3" borderId="1" xfId="0" applyNumberFormat="1" applyFont="1" applyFill="1" applyBorder="1"/>
    <xf numFmtId="2" fontId="72" fillId="26" borderId="0" xfId="0" applyNumberFormat="1" applyFont="1" applyFill="1"/>
    <xf numFmtId="0" fontId="72" fillId="0" borderId="7" xfId="0" applyFont="1" applyBorder="1" applyAlignment="1">
      <alignment horizontal="left" indent="2"/>
    </xf>
    <xf numFmtId="0" fontId="72" fillId="0" borderId="1" xfId="0" applyFont="1" applyBorder="1" applyAlignment="1">
      <alignment wrapText="1"/>
    </xf>
    <xf numFmtId="0" fontId="72" fillId="0" borderId="9" xfId="0" applyFont="1" applyBorder="1" applyAlignment="1">
      <alignment horizontal="left" indent="2"/>
    </xf>
    <xf numFmtId="0" fontId="72" fillId="0" borderId="1" xfId="0" applyFont="1" applyBorder="1" applyAlignment="1">
      <alignment horizontal="left" indent="2"/>
    </xf>
    <xf numFmtId="0" fontId="72" fillId="0" borderId="0" xfId="0" applyFont="1"/>
    <xf numFmtId="173" fontId="72" fillId="26" borderId="0" xfId="0" applyNumberFormat="1" applyFont="1" applyFill="1"/>
    <xf numFmtId="0" fontId="72" fillId="26" borderId="10" xfId="0" applyFont="1" applyFill="1" applyBorder="1"/>
    <xf numFmtId="0" fontId="72" fillId="26" borderId="10" xfId="0" applyFont="1" applyFill="1" applyBorder="1" applyAlignment="1">
      <alignment horizontal="center"/>
    </xf>
    <xf numFmtId="9" fontId="72" fillId="26" borderId="10" xfId="0" applyNumberFormat="1" applyFont="1" applyFill="1" applyBorder="1" applyAlignment="1">
      <alignment wrapText="1"/>
    </xf>
    <xf numFmtId="0" fontId="72" fillId="27" borderId="7" xfId="0" applyFont="1" applyFill="1" applyBorder="1" applyAlignment="1">
      <alignment horizontal="center"/>
    </xf>
    <xf numFmtId="0" fontId="72" fillId="27" borderId="9" xfId="0" applyFont="1" applyFill="1" applyBorder="1"/>
    <xf numFmtId="3" fontId="72" fillId="3" borderId="1" xfId="0" applyNumberFormat="1" applyFont="1" applyFill="1" applyBorder="1"/>
    <xf numFmtId="1" fontId="72" fillId="3" borderId="1" xfId="0" applyNumberFormat="1" applyFont="1" applyFill="1" applyBorder="1"/>
    <xf numFmtId="0" fontId="72" fillId="27" borderId="1" xfId="0" applyFont="1" applyFill="1" applyBorder="1" applyAlignment="1">
      <alignment horizontal="center" vertical="top"/>
    </xf>
    <xf numFmtId="9" fontId="72" fillId="27" borderId="1" xfId="0" applyNumberFormat="1" applyFont="1" applyFill="1" applyBorder="1" applyAlignment="1">
      <alignment horizontal="center" vertical="top" wrapText="1"/>
    </xf>
    <xf numFmtId="0" fontId="72" fillId="27" borderId="1" xfId="0" applyFont="1" applyFill="1" applyBorder="1"/>
    <xf numFmtId="0" fontId="72" fillId="27" borderId="1" xfId="0" applyFont="1" applyFill="1" applyBorder="1" applyAlignment="1">
      <alignment vertical="top" wrapText="1"/>
    </xf>
    <xf numFmtId="0" fontId="72" fillId="27" borderId="1" xfId="0" applyFont="1" applyFill="1" applyBorder="1" applyAlignment="1">
      <alignment horizontal="center" wrapText="1"/>
    </xf>
    <xf numFmtId="0" fontId="72" fillId="0" borderId="1" xfId="0" applyFont="1" applyBorder="1" applyAlignment="1">
      <alignment horizontal="center"/>
    </xf>
    <xf numFmtId="0" fontId="72" fillId="0" borderId="1" xfId="0" applyFont="1" applyBorder="1" applyAlignment="1">
      <alignment horizontal="left" wrapText="1"/>
    </xf>
    <xf numFmtId="0" fontId="72" fillId="26" borderId="0" xfId="0" applyFont="1" applyFill="1" applyAlignment="1">
      <alignment wrapText="1"/>
    </xf>
    <xf numFmtId="0" fontId="72" fillId="0" borderId="0" xfId="3" applyFont="1"/>
    <xf numFmtId="1" fontId="74" fillId="0" borderId="0" xfId="3" applyNumberFormat="1" applyFont="1"/>
    <xf numFmtId="3" fontId="76" fillId="0" borderId="0" xfId="4" applyNumberFormat="1" applyFont="1"/>
    <xf numFmtId="0" fontId="77" fillId="0" borderId="0" xfId="4" applyFont="1"/>
    <xf numFmtId="0" fontId="77" fillId="0" borderId="0" xfId="4" applyFont="1" applyAlignment="1">
      <alignment horizontal="center"/>
    </xf>
    <xf numFmtId="3" fontId="78" fillId="0" borderId="0" xfId="4" applyNumberFormat="1" applyFont="1"/>
    <xf numFmtId="3" fontId="77" fillId="0" borderId="0" xfId="4" applyNumberFormat="1" applyFont="1"/>
    <xf numFmtId="0" fontId="77" fillId="0" borderId="11" xfId="4" applyFont="1" applyBorder="1"/>
    <xf numFmtId="0" fontId="77" fillId="0" borderId="12" xfId="4" applyFont="1" applyBorder="1"/>
    <xf numFmtId="0" fontId="77" fillId="0" borderId="13" xfId="4" applyFont="1" applyBorder="1"/>
    <xf numFmtId="0" fontId="77" fillId="0" borderId="13" xfId="4" applyFont="1" applyBorder="1" applyAlignment="1">
      <alignment horizontal="center"/>
    </xf>
    <xf numFmtId="0" fontId="77" fillId="27" borderId="18" xfId="4" applyFont="1" applyFill="1" applyBorder="1" applyAlignment="1">
      <alignment vertical="center"/>
    </xf>
    <xf numFmtId="0" fontId="77" fillId="27" borderId="19" xfId="4" applyFont="1" applyFill="1" applyBorder="1" applyAlignment="1">
      <alignment vertical="center"/>
    </xf>
    <xf numFmtId="0" fontId="77" fillId="27" borderId="19" xfId="4" applyFont="1" applyFill="1" applyBorder="1" applyAlignment="1">
      <alignment horizontal="center" vertical="center"/>
    </xf>
    <xf numFmtId="0" fontId="77" fillId="27" borderId="18" xfId="4" applyFont="1" applyFill="1" applyBorder="1" applyAlignment="1">
      <alignment horizontal="center" vertical="center" wrapText="1"/>
    </xf>
    <xf numFmtId="0" fontId="77" fillId="27" borderId="20" xfId="4" applyFont="1" applyFill="1" applyBorder="1" applyAlignment="1">
      <alignment horizontal="center" vertical="center" wrapText="1"/>
    </xf>
    <xf numFmtId="0" fontId="77" fillId="27" borderId="18" xfId="4" applyFont="1" applyFill="1" applyBorder="1" applyAlignment="1">
      <alignment horizontal="center" vertical="center"/>
    </xf>
    <xf numFmtId="0" fontId="77" fillId="27" borderId="20" xfId="4" applyFont="1" applyFill="1" applyBorder="1" applyAlignment="1">
      <alignment horizontal="center" vertical="center"/>
    </xf>
    <xf numFmtId="0" fontId="77" fillId="29" borderId="20" xfId="4" applyFont="1" applyFill="1" applyBorder="1" applyAlignment="1">
      <alignment horizontal="center" vertical="center" wrapText="1"/>
    </xf>
    <xf numFmtId="0" fontId="77" fillId="0" borderId="0" xfId="4" applyFont="1" applyAlignment="1">
      <alignment horizontal="center" vertical="center"/>
    </xf>
    <xf numFmtId="0" fontId="76" fillId="0" borderId="1" xfId="4" applyFont="1" applyBorder="1" applyAlignment="1">
      <alignment horizontal="center" vertical="center"/>
    </xf>
    <xf numFmtId="0" fontId="79" fillId="0" borderId="21" xfId="4" applyFont="1" applyBorder="1" applyAlignment="1">
      <alignment vertical="center"/>
    </xf>
    <xf numFmtId="0" fontId="79" fillId="0" borderId="22" xfId="4" applyFont="1" applyBorder="1" applyAlignment="1">
      <alignment vertical="center"/>
    </xf>
    <xf numFmtId="0" fontId="77" fillId="0" borderId="23" xfId="4" applyFont="1" applyBorder="1" applyAlignment="1">
      <alignment horizontal="center" vertical="center"/>
    </xf>
    <xf numFmtId="0" fontId="80" fillId="28" borderId="6" xfId="4" applyFont="1" applyFill="1" applyBorder="1" applyAlignment="1">
      <alignment vertical="center"/>
    </xf>
    <xf numFmtId="0" fontId="80" fillId="28" borderId="5" xfId="4" applyFont="1" applyFill="1" applyBorder="1" applyAlignment="1">
      <alignment vertical="center"/>
    </xf>
    <xf numFmtId="0" fontId="80" fillId="0" borderId="6" xfId="4" applyFont="1" applyBorder="1" applyAlignment="1">
      <alignment vertical="center"/>
    </xf>
    <xf numFmtId="0" fontId="80" fillId="0" borderId="0" xfId="4" applyFont="1" applyAlignment="1">
      <alignment vertical="center"/>
    </xf>
    <xf numFmtId="0" fontId="77" fillId="0" borderId="0" xfId="4" applyFont="1" applyAlignment="1">
      <alignment vertical="center"/>
    </xf>
    <xf numFmtId="0" fontId="77" fillId="0" borderId="23" xfId="4" applyFont="1" applyBorder="1" applyAlignment="1">
      <alignment vertical="center"/>
    </xf>
    <xf numFmtId="0" fontId="77" fillId="0" borderId="5" xfId="4" applyFont="1" applyBorder="1" applyAlignment="1">
      <alignment vertical="center"/>
    </xf>
    <xf numFmtId="0" fontId="77" fillId="0" borderId="6" xfId="4" applyFont="1" applyBorder="1" applyAlignment="1">
      <alignment vertical="center"/>
    </xf>
    <xf numFmtId="0" fontId="77" fillId="0" borderId="5" xfId="4" applyFont="1" applyBorder="1"/>
    <xf numFmtId="0" fontId="77" fillId="0" borderId="8" xfId="4" applyFont="1" applyBorder="1"/>
    <xf numFmtId="0" fontId="81" fillId="0" borderId="2" xfId="4" applyFont="1" applyBorder="1" applyAlignment="1">
      <alignment vertical="center"/>
    </xf>
    <xf numFmtId="0" fontId="79" fillId="0" borderId="3" xfId="4" applyFont="1" applyBorder="1" applyAlignment="1">
      <alignment vertical="center"/>
    </xf>
    <xf numFmtId="0" fontId="77" fillId="0" borderId="4" xfId="4" applyFont="1" applyBorder="1" applyAlignment="1">
      <alignment horizontal="center" vertical="center"/>
    </xf>
    <xf numFmtId="0" fontId="80" fillId="28" borderId="2" xfId="4" applyFont="1" applyFill="1" applyBorder="1" applyAlignment="1">
      <alignment vertical="center"/>
    </xf>
    <xf numFmtId="0" fontId="80" fillId="28" borderId="4" xfId="4" applyFont="1" applyFill="1" applyBorder="1" applyAlignment="1">
      <alignment vertical="center"/>
    </xf>
    <xf numFmtId="0" fontId="80" fillId="0" borderId="2" xfId="4" applyFont="1" applyBorder="1" applyAlignment="1">
      <alignment vertical="center"/>
    </xf>
    <xf numFmtId="0" fontId="80" fillId="0" borderId="3" xfId="4" applyFont="1" applyBorder="1" applyAlignment="1">
      <alignment vertical="center"/>
    </xf>
    <xf numFmtId="0" fontId="77" fillId="0" borderId="3" xfId="4" applyFont="1" applyBorder="1" applyAlignment="1">
      <alignment vertical="center"/>
    </xf>
    <xf numFmtId="0" fontId="77" fillId="0" borderId="4" xfId="4" applyFont="1" applyBorder="1" applyAlignment="1">
      <alignment vertical="center"/>
    </xf>
    <xf numFmtId="0" fontId="77" fillId="0" borderId="2" xfId="4" applyFont="1" applyBorder="1" applyAlignment="1">
      <alignment vertical="center"/>
    </xf>
    <xf numFmtId="0" fontId="77" fillId="0" borderId="4" xfId="4" applyFont="1" applyBorder="1"/>
    <xf numFmtId="0" fontId="77" fillId="0" borderId="1" xfId="4" applyFont="1" applyBorder="1"/>
    <xf numFmtId="0" fontId="77" fillId="0" borderId="2" xfId="4" applyFont="1" applyBorder="1" applyAlignment="1">
      <alignment vertical="center" wrapText="1"/>
    </xf>
    <xf numFmtId="0" fontId="77" fillId="0" borderId="4" xfId="4" applyFont="1" applyBorder="1" applyAlignment="1">
      <alignment horizontal="center" vertical="center" wrapText="1"/>
    </xf>
    <xf numFmtId="1" fontId="77" fillId="28" borderId="2" xfId="4" applyNumberFormat="1" applyFont="1" applyFill="1" applyBorder="1" applyAlignment="1">
      <alignment vertical="center"/>
    </xf>
    <xf numFmtId="1" fontId="77" fillId="28" borderId="4" xfId="4" applyNumberFormat="1" applyFont="1" applyFill="1" applyBorder="1" applyAlignment="1">
      <alignment vertical="center"/>
    </xf>
    <xf numFmtId="3" fontId="77" fillId="0" borderId="2" xfId="4" applyNumberFormat="1" applyFont="1" applyBorder="1" applyAlignment="1">
      <alignment horizontal="right" vertical="center"/>
    </xf>
    <xf numFmtId="3" fontId="77" fillId="0" borderId="3" xfId="4" applyNumberFormat="1" applyFont="1" applyBorder="1" applyAlignment="1">
      <alignment horizontal="right" vertical="center"/>
    </xf>
    <xf numFmtId="3" fontId="77" fillId="0" borderId="4" xfId="4" applyNumberFormat="1" applyFont="1" applyBorder="1" applyAlignment="1">
      <alignment horizontal="right" vertical="center"/>
    </xf>
    <xf numFmtId="3" fontId="77" fillId="0" borderId="0" xfId="4" applyNumberFormat="1" applyFont="1" applyAlignment="1">
      <alignment vertical="center"/>
    </xf>
    <xf numFmtId="49" fontId="77" fillId="0" borderId="2" xfId="4" applyNumberFormat="1" applyFont="1" applyBorder="1" applyAlignment="1">
      <alignment horizontal="right" vertical="center"/>
    </xf>
    <xf numFmtId="3" fontId="76" fillId="0" borderId="3" xfId="4" applyNumberFormat="1" applyFont="1" applyBorder="1" applyAlignment="1">
      <alignment vertical="center"/>
    </xf>
    <xf numFmtId="0" fontId="76" fillId="0" borderId="4" xfId="4" applyFont="1" applyBorder="1" applyAlignment="1">
      <alignment vertical="center" wrapText="1"/>
    </xf>
    <xf numFmtId="0" fontId="76" fillId="0" borderId="1" xfId="4" applyFont="1" applyBorder="1" applyAlignment="1">
      <alignment vertical="center" wrapText="1"/>
    </xf>
    <xf numFmtId="3" fontId="77" fillId="0" borderId="2" xfId="4" applyNumberFormat="1" applyFont="1" applyBorder="1" applyAlignment="1">
      <alignment vertical="center"/>
    </xf>
    <xf numFmtId="3" fontId="77" fillId="0" borderId="3" xfId="4" applyNumberFormat="1" applyFont="1" applyBorder="1" applyAlignment="1">
      <alignment vertical="center"/>
    </xf>
    <xf numFmtId="0" fontId="77" fillId="0" borderId="4" xfId="4" applyFont="1" applyBorder="1" applyAlignment="1">
      <alignment vertical="center" wrapText="1"/>
    </xf>
    <xf numFmtId="1" fontId="77" fillId="0" borderId="3" xfId="4" applyNumberFormat="1" applyFont="1" applyBorder="1" applyAlignment="1">
      <alignment vertical="center"/>
    </xf>
    <xf numFmtId="9" fontId="77" fillId="0" borderId="2" xfId="1" applyFont="1" applyBorder="1" applyAlignment="1">
      <alignment horizontal="right" vertical="center"/>
    </xf>
    <xf numFmtId="9" fontId="77" fillId="0" borderId="3" xfId="1" applyFont="1" applyBorder="1" applyAlignment="1">
      <alignment horizontal="right" vertical="center"/>
    </xf>
    <xf numFmtId="9" fontId="77" fillId="0" borderId="4" xfId="1" applyFont="1" applyBorder="1" applyAlignment="1">
      <alignment horizontal="right" vertical="center"/>
    </xf>
    <xf numFmtId="0" fontId="77" fillId="0" borderId="2" xfId="4" applyFont="1" applyBorder="1" applyAlignment="1">
      <alignment horizontal="left" vertical="center" wrapText="1"/>
    </xf>
    <xf numFmtId="1" fontId="77" fillId="0" borderId="3" xfId="4" applyNumberFormat="1" applyFont="1" applyBorder="1" applyAlignment="1">
      <alignment horizontal="center" vertical="center" wrapText="1"/>
    </xf>
    <xf numFmtId="3" fontId="77" fillId="28" borderId="2" xfId="4" applyNumberFormat="1" applyFont="1" applyFill="1" applyBorder="1" applyAlignment="1">
      <alignment vertical="center"/>
    </xf>
    <xf numFmtId="3" fontId="77" fillId="28" borderId="4" xfId="4" applyNumberFormat="1" applyFont="1" applyFill="1" applyBorder="1" applyAlignment="1">
      <alignment vertical="center"/>
    </xf>
    <xf numFmtId="3" fontId="82" fillId="0" borderId="4" xfId="4" applyNumberFormat="1" applyFont="1" applyBorder="1" applyAlignment="1">
      <alignment horizontal="right" vertical="center"/>
    </xf>
    <xf numFmtId="9" fontId="77" fillId="0" borderId="0" xfId="5" applyFont="1"/>
    <xf numFmtId="0" fontId="77" fillId="0" borderId="3" xfId="4" applyFont="1" applyBorder="1" applyAlignment="1">
      <alignment horizontal="left" vertical="center" wrapText="1"/>
    </xf>
    <xf numFmtId="3" fontId="77" fillId="0" borderId="4" xfId="4" applyNumberFormat="1" applyFont="1" applyBorder="1" applyAlignment="1">
      <alignment vertical="center" wrapText="1"/>
    </xf>
    <xf numFmtId="0" fontId="77" fillId="0" borderId="1" xfId="4" applyFont="1" applyBorder="1" applyAlignment="1">
      <alignment vertical="center" wrapText="1"/>
    </xf>
    <xf numFmtId="9" fontId="77" fillId="0" borderId="3" xfId="4" applyNumberFormat="1" applyFont="1" applyBorder="1" applyAlignment="1">
      <alignment horizontal="center" vertical="center" wrapText="1"/>
    </xf>
    <xf numFmtId="9" fontId="77" fillId="0" borderId="2" xfId="1" applyFont="1" applyFill="1" applyBorder="1" applyAlignment="1">
      <alignment vertical="center"/>
    </xf>
    <xf numFmtId="168" fontId="77" fillId="0" borderId="3" xfId="4" applyNumberFormat="1" applyFont="1" applyBorder="1" applyAlignment="1">
      <alignment horizontal="center" vertical="center"/>
    </xf>
    <xf numFmtId="9" fontId="77" fillId="28" borderId="2" xfId="5" applyFont="1" applyFill="1" applyBorder="1" applyAlignment="1">
      <alignment vertical="center"/>
    </xf>
    <xf numFmtId="9" fontId="77" fillId="28" borderId="4" xfId="5" applyFont="1" applyFill="1" applyBorder="1" applyAlignment="1">
      <alignment vertical="center"/>
    </xf>
    <xf numFmtId="9" fontId="77" fillId="0" borderId="2" xfId="5" applyFont="1" applyBorder="1" applyAlignment="1">
      <alignment horizontal="right" vertical="center"/>
    </xf>
    <xf numFmtId="9" fontId="77" fillId="0" borderId="3" xfId="5" applyFont="1" applyBorder="1" applyAlignment="1">
      <alignment horizontal="right" vertical="center"/>
    </xf>
    <xf numFmtId="168" fontId="77" fillId="0" borderId="3" xfId="5" applyNumberFormat="1" applyFont="1" applyBorder="1" applyAlignment="1">
      <alignment horizontal="right" vertical="center"/>
    </xf>
    <xf numFmtId="168" fontId="77" fillId="0" borderId="4" xfId="5" applyNumberFormat="1" applyFont="1" applyBorder="1" applyAlignment="1">
      <alignment horizontal="right" vertical="center"/>
    </xf>
    <xf numFmtId="168" fontId="77" fillId="0" borderId="2" xfId="4" applyNumberFormat="1" applyFont="1" applyBorder="1" applyAlignment="1">
      <alignment horizontal="center" vertical="center"/>
    </xf>
    <xf numFmtId="3" fontId="76" fillId="0" borderId="4" xfId="4" applyNumberFormat="1" applyFont="1" applyBorder="1" applyAlignment="1">
      <alignment vertical="center" wrapText="1"/>
    </xf>
    <xf numFmtId="0" fontId="77" fillId="0" borderId="2" xfId="4" applyFont="1" applyBorder="1" applyAlignment="1">
      <alignment horizontal="left" vertical="center" wrapText="1" indent="2"/>
    </xf>
    <xf numFmtId="0" fontId="77" fillId="0" borderId="3" xfId="4" applyFont="1" applyBorder="1" applyAlignment="1">
      <alignment horizontal="center" vertical="center" wrapText="1"/>
    </xf>
    <xf numFmtId="175" fontId="77" fillId="0" borderId="2" xfId="4" applyNumberFormat="1" applyFont="1" applyBorder="1" applyAlignment="1">
      <alignment horizontal="right" vertical="center"/>
    </xf>
    <xf numFmtId="175" fontId="77" fillId="0" borderId="3" xfId="4" applyNumberFormat="1" applyFont="1" applyBorder="1" applyAlignment="1">
      <alignment horizontal="right" vertical="center"/>
    </xf>
    <xf numFmtId="175" fontId="77" fillId="0" borderId="4" xfId="4" applyNumberFormat="1" applyFont="1" applyBorder="1" applyAlignment="1">
      <alignment horizontal="right" vertical="center"/>
    </xf>
    <xf numFmtId="0" fontId="77" fillId="0" borderId="6" xfId="4" applyFont="1" applyBorder="1" applyAlignment="1">
      <alignment wrapText="1"/>
    </xf>
    <xf numFmtId="2" fontId="77" fillId="0" borderId="3" xfId="0" applyNumberFormat="1" applyFont="1" applyBorder="1" applyAlignment="1">
      <alignment horizontal="center" vertical="center" wrapText="1"/>
    </xf>
    <xf numFmtId="2" fontId="77" fillId="28" borderId="4" xfId="4" applyNumberFormat="1" applyFont="1" applyFill="1" applyBorder="1" applyAlignment="1">
      <alignment vertical="center"/>
    </xf>
    <xf numFmtId="1" fontId="77" fillId="0" borderId="2" xfId="4" applyNumberFormat="1" applyFont="1" applyBorder="1" applyAlignment="1">
      <alignment horizontal="right" vertical="center"/>
    </xf>
    <xf numFmtId="1" fontId="77" fillId="0" borderId="3" xfId="4" applyNumberFormat="1" applyFont="1" applyBorder="1" applyAlignment="1">
      <alignment horizontal="right" vertical="center"/>
    </xf>
    <xf numFmtId="1" fontId="77" fillId="0" borderId="4" xfId="4" applyNumberFormat="1" applyFont="1" applyBorder="1" applyAlignment="1">
      <alignment horizontal="right" vertical="center"/>
    </xf>
    <xf numFmtId="0" fontId="77" fillId="0" borderId="4" xfId="4" applyFont="1" applyBorder="1" applyAlignment="1">
      <alignment horizontal="left" vertical="center" wrapText="1"/>
    </xf>
    <xf numFmtId="0" fontId="76" fillId="0" borderId="4" xfId="4" applyFont="1" applyBorder="1" applyAlignment="1">
      <alignment horizontal="left" vertical="center" wrapText="1"/>
    </xf>
    <xf numFmtId="0" fontId="77" fillId="0" borderId="2" xfId="0" applyFont="1" applyBorder="1" applyAlignment="1">
      <alignment horizontal="left" wrapText="1" indent="1"/>
    </xf>
    <xf numFmtId="3" fontId="83" fillId="0" borderId="2" xfId="0" applyNumberFormat="1" applyFont="1" applyBorder="1" applyAlignment="1">
      <alignment wrapText="1"/>
    </xf>
    <xf numFmtId="3" fontId="83" fillId="0" borderId="3" xfId="0" applyNumberFormat="1" applyFont="1" applyBorder="1" applyAlignment="1">
      <alignment wrapText="1"/>
    </xf>
    <xf numFmtId="0" fontId="84" fillId="0" borderId="2" xfId="0" applyFont="1" applyBorder="1" applyAlignment="1">
      <alignment horizontal="left" wrapText="1" indent="3"/>
    </xf>
    <xf numFmtId="0" fontId="77" fillId="0" borderId="2" xfId="0" applyFont="1" applyBorder="1" applyAlignment="1">
      <alignment horizontal="left" wrapText="1" indent="4"/>
    </xf>
    <xf numFmtId="3" fontId="77" fillId="0" borderId="3" xfId="4" applyNumberFormat="1" applyFont="1" applyBorder="1" applyAlignment="1">
      <alignment horizontal="center" vertical="center" wrapText="1"/>
    </xf>
    <xf numFmtId="3" fontId="85" fillId="0" borderId="4" xfId="4" applyNumberFormat="1" applyFont="1" applyBorder="1" applyAlignment="1">
      <alignment horizontal="right" vertical="center"/>
    </xf>
    <xf numFmtId="3" fontId="76" fillId="0" borderId="0" xfId="4" applyNumberFormat="1" applyFont="1" applyAlignment="1">
      <alignment vertical="center"/>
    </xf>
    <xf numFmtId="3" fontId="76" fillId="0" borderId="2" xfId="4" applyNumberFormat="1" applyFont="1" applyBorder="1" applyAlignment="1">
      <alignment vertical="center"/>
    </xf>
    <xf numFmtId="0" fontId="76" fillId="0" borderId="0" xfId="4" applyFont="1"/>
    <xf numFmtId="4" fontId="77" fillId="0" borderId="2" xfId="4" applyNumberFormat="1" applyFont="1" applyBorder="1" applyAlignment="1">
      <alignment horizontal="right" vertical="center"/>
    </xf>
    <xf numFmtId="4" fontId="77" fillId="0" borderId="3" xfId="4" applyNumberFormat="1" applyFont="1" applyBorder="1" applyAlignment="1">
      <alignment horizontal="right" vertical="center"/>
    </xf>
    <xf numFmtId="4" fontId="77" fillId="0" borderId="4" xfId="4" applyNumberFormat="1" applyFont="1" applyBorder="1" applyAlignment="1">
      <alignment horizontal="right" vertical="center"/>
    </xf>
    <xf numFmtId="10" fontId="77" fillId="0" borderId="3" xfId="4" applyNumberFormat="1" applyFont="1" applyBorder="1" applyAlignment="1">
      <alignment horizontal="center" vertical="center"/>
    </xf>
    <xf numFmtId="10" fontId="77" fillId="28" borderId="2" xfId="5" applyNumberFormat="1" applyFont="1" applyFill="1" applyBorder="1" applyAlignment="1">
      <alignment vertical="center"/>
    </xf>
    <xf numFmtId="10" fontId="77" fillId="28" borderId="4" xfId="5" applyNumberFormat="1" applyFont="1" applyFill="1" applyBorder="1" applyAlignment="1">
      <alignment vertical="center"/>
    </xf>
    <xf numFmtId="10" fontId="77" fillId="0" borderId="2" xfId="1" applyNumberFormat="1" applyFont="1" applyFill="1" applyBorder="1" applyAlignment="1">
      <alignment vertical="center"/>
    </xf>
    <xf numFmtId="0" fontId="77" fillId="0" borderId="2" xfId="4" applyFont="1" applyBorder="1" applyAlignment="1">
      <alignment horizontal="left" vertical="center" wrapText="1" indent="3"/>
    </xf>
    <xf numFmtId="9" fontId="77" fillId="0" borderId="3" xfId="1" applyFont="1" applyFill="1" applyBorder="1" applyAlignment="1">
      <alignment horizontal="center" vertical="center" wrapText="1"/>
    </xf>
    <xf numFmtId="10" fontId="77" fillId="0" borderId="2" xfId="5" applyNumberFormat="1" applyFont="1" applyBorder="1" applyAlignment="1">
      <alignment horizontal="right" vertical="center"/>
    </xf>
    <xf numFmtId="10" fontId="77" fillId="0" borderId="3" xfId="5" applyNumberFormat="1" applyFont="1" applyBorder="1" applyAlignment="1">
      <alignment horizontal="right" vertical="center"/>
    </xf>
    <xf numFmtId="10" fontId="77" fillId="0" borderId="4" xfId="5" applyNumberFormat="1" applyFont="1" applyBorder="1" applyAlignment="1">
      <alignment horizontal="right" vertical="center"/>
    </xf>
    <xf numFmtId="168" fontId="77" fillId="0" borderId="3" xfId="1" applyNumberFormat="1" applyFont="1" applyFill="1" applyBorder="1" applyAlignment="1">
      <alignment horizontal="center" vertical="center" wrapText="1"/>
    </xf>
    <xf numFmtId="3" fontId="77" fillId="0" borderId="6" xfId="4" applyNumberFormat="1" applyFont="1" applyBorder="1" applyAlignment="1">
      <alignment vertical="center"/>
    </xf>
    <xf numFmtId="0" fontId="77" fillId="0" borderId="5" xfId="4" applyFont="1" applyBorder="1" applyAlignment="1">
      <alignment vertical="center" wrapText="1"/>
    </xf>
    <xf numFmtId="0" fontId="77" fillId="0" borderId="8" xfId="4" applyFont="1" applyBorder="1" applyAlignment="1">
      <alignment vertical="center" wrapText="1"/>
    </xf>
    <xf numFmtId="3" fontId="77" fillId="0" borderId="3" xfId="5" applyNumberFormat="1" applyFont="1" applyFill="1" applyBorder="1" applyAlignment="1">
      <alignment horizontal="right" vertical="center"/>
    </xf>
    <xf numFmtId="1" fontId="77" fillId="28" borderId="4" xfId="5" applyNumberFormat="1" applyFont="1" applyFill="1" applyBorder="1" applyAlignment="1">
      <alignment vertical="center"/>
    </xf>
    <xf numFmtId="1" fontId="77" fillId="0" borderId="2" xfId="5" applyNumberFormat="1" applyFont="1" applyBorder="1" applyAlignment="1">
      <alignment horizontal="right" vertical="center"/>
    </xf>
    <xf numFmtId="1" fontId="77" fillId="0" borderId="3" xfId="5" applyNumberFormat="1" applyFont="1" applyBorder="1" applyAlignment="1">
      <alignment horizontal="right" vertical="center"/>
    </xf>
    <xf numFmtId="1" fontId="77" fillId="0" borderId="4" xfId="5" applyNumberFormat="1" applyFont="1" applyBorder="1" applyAlignment="1">
      <alignment horizontal="right" vertical="center"/>
    </xf>
    <xf numFmtId="3" fontId="77" fillId="0" borderId="14" xfId="4" applyNumberFormat="1" applyFont="1" applyBorder="1" applyAlignment="1">
      <alignment vertical="center"/>
    </xf>
    <xf numFmtId="3" fontId="77" fillId="0" borderId="10" xfId="4" applyNumberFormat="1" applyFont="1" applyBorder="1" applyAlignment="1">
      <alignment vertical="center"/>
    </xf>
    <xf numFmtId="0" fontId="76" fillId="0" borderId="15" xfId="4" applyFont="1" applyBorder="1" applyAlignment="1">
      <alignment vertical="center" wrapText="1"/>
    </xf>
    <xf numFmtId="0" fontId="76" fillId="0" borderId="9" xfId="4" applyFont="1" applyBorder="1" applyAlignment="1">
      <alignment vertical="center" wrapText="1"/>
    </xf>
    <xf numFmtId="0" fontId="77" fillId="0" borderId="0" xfId="4" applyFont="1" applyAlignment="1">
      <alignment horizontal="left" vertical="center" wrapText="1"/>
    </xf>
    <xf numFmtId="10" fontId="77" fillId="0" borderId="0" xfId="4" applyNumberFormat="1" applyFont="1" applyAlignment="1">
      <alignment horizontal="center" vertical="center"/>
    </xf>
    <xf numFmtId="0" fontId="77" fillId="0" borderId="0" xfId="4" applyFont="1" applyAlignment="1">
      <alignment horizontal="center" vertical="center" wrapText="1"/>
    </xf>
    <xf numFmtId="9" fontId="77" fillId="0" borderId="6" xfId="5" applyFont="1" applyFill="1" applyBorder="1" applyAlignment="1">
      <alignment vertical="center"/>
    </xf>
    <xf numFmtId="10" fontId="77" fillId="0" borderId="12" xfId="5" applyNumberFormat="1" applyFont="1" applyFill="1" applyBorder="1" applyAlignment="1">
      <alignment vertical="center"/>
    </xf>
    <xf numFmtId="10" fontId="77" fillId="0" borderId="12" xfId="5" applyNumberFormat="1" applyFont="1" applyBorder="1" applyAlignment="1">
      <alignment horizontal="right" vertical="center"/>
    </xf>
    <xf numFmtId="10" fontId="77" fillId="0" borderId="0" xfId="5" applyNumberFormat="1" applyFont="1" applyBorder="1" applyAlignment="1">
      <alignment horizontal="right" vertical="center"/>
    </xf>
    <xf numFmtId="3" fontId="82" fillId="0" borderId="12" xfId="4" applyNumberFormat="1" applyFont="1" applyBorder="1" applyAlignment="1">
      <alignment horizontal="right" vertical="center"/>
    </xf>
    <xf numFmtId="2" fontId="77" fillId="0" borderId="0" xfId="4" applyNumberFormat="1" applyFont="1"/>
    <xf numFmtId="0" fontId="77" fillId="30" borderId="0" xfId="4" applyFont="1" applyFill="1"/>
    <xf numFmtId="0" fontId="74" fillId="0" borderId="0" xfId="6" applyFont="1"/>
    <xf numFmtId="0" fontId="83" fillId="0" borderId="0" xfId="6" applyFont="1"/>
    <xf numFmtId="0" fontId="74" fillId="0" borderId="2" xfId="6" applyFont="1" applyBorder="1"/>
    <xf numFmtId="0" fontId="74" fillId="0" borderId="3" xfId="6" applyFont="1" applyBorder="1"/>
    <xf numFmtId="0" fontId="74" fillId="0" borderId="4" xfId="6" applyFont="1" applyBorder="1"/>
    <xf numFmtId="0" fontId="74" fillId="0" borderId="1" xfId="6" applyFont="1" applyBorder="1"/>
    <xf numFmtId="0" fontId="75" fillId="0" borderId="0" xfId="4"/>
    <xf numFmtId="0" fontId="86" fillId="0" borderId="1" xfId="4" applyFont="1" applyBorder="1" applyAlignment="1">
      <alignment horizontal="center"/>
    </xf>
    <xf numFmtId="0" fontId="72" fillId="27" borderId="1" xfId="6" applyFont="1" applyFill="1" applyBorder="1"/>
    <xf numFmtId="0" fontId="77" fillId="27" borderId="1" xfId="6" applyFont="1" applyFill="1" applyBorder="1" applyAlignment="1">
      <alignment horizontal="right"/>
    </xf>
    <xf numFmtId="0" fontId="74" fillId="27" borderId="1" xfId="6" applyFont="1" applyFill="1" applyBorder="1"/>
    <xf numFmtId="0" fontId="74" fillId="27" borderId="1" xfId="6" applyFont="1" applyFill="1" applyBorder="1" applyAlignment="1">
      <alignment horizontal="center"/>
    </xf>
    <xf numFmtId="0" fontId="86" fillId="27" borderId="1" xfId="4" applyFont="1" applyFill="1" applyBorder="1"/>
    <xf numFmtId="0" fontId="87" fillId="0" borderId="1" xfId="6" applyFont="1" applyBorder="1"/>
    <xf numFmtId="0" fontId="88" fillId="0" borderId="1" xfId="6" applyFont="1" applyBorder="1"/>
    <xf numFmtId="0" fontId="77" fillId="0" borderId="1" xfId="6" applyFont="1" applyBorder="1"/>
    <xf numFmtId="0" fontId="72" fillId="0" borderId="1" xfId="6" applyFont="1" applyBorder="1"/>
    <xf numFmtId="0" fontId="74" fillId="0" borderId="1" xfId="6" applyFont="1" applyBorder="1" applyAlignment="1">
      <alignment horizontal="center"/>
    </xf>
    <xf numFmtId="174" fontId="72" fillId="0" borderId="1" xfId="6" applyNumberFormat="1" applyFont="1" applyBorder="1"/>
    <xf numFmtId="174" fontId="74" fillId="0" borderId="1" xfId="6" applyNumberFormat="1" applyFont="1" applyBorder="1"/>
    <xf numFmtId="174" fontId="74" fillId="0" borderId="1" xfId="6" applyNumberFormat="1" applyFont="1" applyBorder="1" applyAlignment="1">
      <alignment horizontal="right"/>
    </xf>
    <xf numFmtId="1" fontId="74" fillId="0" borderId="1" xfId="6" applyNumberFormat="1" applyFont="1" applyBorder="1"/>
    <xf numFmtId="0" fontId="72" fillId="0" borderId="1" xfId="6" applyFont="1" applyBorder="1" applyAlignment="1">
      <alignment horizontal="left" indent="1"/>
    </xf>
    <xf numFmtId="1" fontId="72" fillId="26" borderId="1" xfId="6" applyNumberFormat="1" applyFont="1" applyFill="1" applyBorder="1"/>
    <xf numFmtId="174" fontId="72" fillId="26" borderId="1" xfId="6" applyNumberFormat="1" applyFont="1" applyFill="1" applyBorder="1"/>
    <xf numFmtId="3" fontId="72" fillId="0" borderId="1" xfId="6" applyNumberFormat="1" applyFont="1" applyBorder="1"/>
    <xf numFmtId="0" fontId="77" fillId="0" borderId="1" xfId="6" applyFont="1" applyBorder="1" applyAlignment="1">
      <alignment wrapText="1"/>
    </xf>
    <xf numFmtId="176" fontId="72" fillId="0" borderId="1" xfId="6" applyNumberFormat="1" applyFont="1" applyBorder="1"/>
    <xf numFmtId="176" fontId="74" fillId="0" borderId="1" xfId="6" applyNumberFormat="1" applyFont="1" applyBorder="1"/>
    <xf numFmtId="177" fontId="74" fillId="0" borderId="1" xfId="6" applyNumberFormat="1" applyFont="1" applyBorder="1"/>
    <xf numFmtId="177" fontId="72" fillId="0" borderId="1" xfId="6" applyNumberFormat="1" applyFont="1" applyBorder="1"/>
    <xf numFmtId="9" fontId="72" fillId="0" borderId="1" xfId="6" applyNumberFormat="1" applyFont="1" applyBorder="1"/>
    <xf numFmtId="0" fontId="72" fillId="0" borderId="1" xfId="6" applyFont="1" applyBorder="1" applyAlignment="1">
      <alignment horizontal="left" wrapText="1"/>
    </xf>
    <xf numFmtId="3" fontId="74" fillId="0" borderId="1" xfId="6" applyNumberFormat="1" applyFont="1" applyBorder="1"/>
    <xf numFmtId="3" fontId="74" fillId="0" borderId="1" xfId="6" applyNumberFormat="1" applyFont="1" applyBorder="1" applyAlignment="1">
      <alignment horizontal="center"/>
    </xf>
    <xf numFmtId="1" fontId="72" fillId="0" borderId="1" xfId="6" applyNumberFormat="1" applyFont="1" applyBorder="1"/>
    <xf numFmtId="168" fontId="72" fillId="0" borderId="1" xfId="6" applyNumberFormat="1" applyFont="1" applyBorder="1"/>
    <xf numFmtId="178" fontId="72" fillId="0" borderId="1" xfId="6" applyNumberFormat="1" applyFont="1" applyBorder="1"/>
    <xf numFmtId="178" fontId="74" fillId="0" borderId="1" xfId="6" applyNumberFormat="1" applyFont="1" applyBorder="1"/>
    <xf numFmtId="0" fontId="72" fillId="0" borderId="1" xfId="6" applyFont="1" applyBorder="1" applyAlignment="1">
      <alignment horizontal="left" indent="3"/>
    </xf>
    <xf numFmtId="10" fontId="72" fillId="0" borderId="1" xfId="6" applyNumberFormat="1" applyFont="1" applyBorder="1" applyAlignment="1">
      <alignment horizontal="right"/>
    </xf>
    <xf numFmtId="10" fontId="72" fillId="0" borderId="1" xfId="6" applyNumberFormat="1" applyFont="1" applyBorder="1" applyAlignment="1">
      <alignment horizontal="left" indent="3"/>
    </xf>
    <xf numFmtId="0" fontId="72" fillId="0" borderId="1" xfId="6" applyFont="1" applyBorder="1" applyAlignment="1">
      <alignment wrapText="1"/>
    </xf>
    <xf numFmtId="0" fontId="73" fillId="0" borderId="1" xfId="6" applyFont="1" applyBorder="1"/>
    <xf numFmtId="0" fontId="72" fillId="0" borderId="1" xfId="6" applyFont="1" applyBorder="1" applyAlignment="1">
      <alignment horizontal="left" wrapText="1" indent="1"/>
    </xf>
    <xf numFmtId="0" fontId="72" fillId="0" borderId="1" xfId="6" applyFont="1" applyBorder="1" applyAlignment="1">
      <alignment horizontal="left" wrapText="1" indent="2"/>
    </xf>
    <xf numFmtId="176" fontId="72" fillId="0" borderId="1" xfId="6" applyNumberFormat="1" applyFont="1" applyBorder="1" applyAlignment="1">
      <alignment horizontal="center"/>
    </xf>
    <xf numFmtId="176" fontId="74" fillId="0" borderId="1" xfId="6" applyNumberFormat="1" applyFont="1" applyBorder="1" applyAlignment="1">
      <alignment horizontal="center"/>
    </xf>
    <xf numFmtId="175" fontId="72" fillId="0" borderId="1" xfId="6" applyNumberFormat="1" applyFont="1" applyBorder="1"/>
    <xf numFmtId="168" fontId="72" fillId="0" borderId="1" xfId="6" applyNumberFormat="1" applyFont="1" applyBorder="1" applyAlignment="1">
      <alignment horizontal="left" indent="1"/>
    </xf>
    <xf numFmtId="0" fontId="72" fillId="0" borderId="1" xfId="6" applyFont="1" applyBorder="1" applyAlignment="1">
      <alignment horizontal="left" indent="4"/>
    </xf>
    <xf numFmtId="10" fontId="72" fillId="0" borderId="1" xfId="6" applyNumberFormat="1" applyFont="1" applyBorder="1" applyAlignment="1">
      <alignment horizontal="left" indent="1"/>
    </xf>
    <xf numFmtId="9" fontId="72" fillId="0" borderId="1" xfId="6" applyNumberFormat="1" applyFont="1" applyBorder="1" applyAlignment="1">
      <alignment horizontal="left" indent="1"/>
    </xf>
    <xf numFmtId="0" fontId="71" fillId="3" borderId="1" xfId="6" applyFont="1" applyFill="1" applyBorder="1" applyAlignment="1">
      <alignment wrapText="1"/>
    </xf>
    <xf numFmtId="0" fontId="77" fillId="3" borderId="1" xfId="6" applyFont="1" applyFill="1" applyBorder="1"/>
    <xf numFmtId="178" fontId="72" fillId="3" borderId="1" xfId="6" applyNumberFormat="1" applyFont="1" applyFill="1" applyBorder="1"/>
    <xf numFmtId="178" fontId="74" fillId="3" borderId="1" xfId="6" applyNumberFormat="1" applyFont="1" applyFill="1" applyBorder="1"/>
    <xf numFmtId="0" fontId="72" fillId="3" borderId="1" xfId="6" applyFont="1" applyFill="1" applyBorder="1" applyAlignment="1">
      <alignment horizontal="left" wrapText="1" indent="2"/>
    </xf>
    <xf numFmtId="0" fontId="72" fillId="3" borderId="1" xfId="6" applyFont="1" applyFill="1" applyBorder="1" applyAlignment="1">
      <alignment horizontal="left" wrapText="1" indent="4"/>
    </xf>
    <xf numFmtId="0" fontId="71" fillId="3" borderId="1" xfId="6" applyFont="1" applyFill="1" applyBorder="1"/>
    <xf numFmtId="3" fontId="72" fillId="3" borderId="1" xfId="6" applyNumberFormat="1" applyFont="1" applyFill="1" applyBorder="1"/>
    <xf numFmtId="3" fontId="74" fillId="3" borderId="1" xfId="6" applyNumberFormat="1" applyFont="1" applyFill="1" applyBorder="1"/>
    <xf numFmtId="0" fontId="72" fillId="3" borderId="1" xfId="6" applyFont="1" applyFill="1" applyBorder="1" applyAlignment="1">
      <alignment horizontal="left" indent="1"/>
    </xf>
    <xf numFmtId="1" fontId="72" fillId="3" borderId="1" xfId="6" applyNumberFormat="1" applyFont="1" applyFill="1" applyBorder="1"/>
    <xf numFmtId="1" fontId="74" fillId="3" borderId="1" xfId="6" applyNumberFormat="1" applyFont="1" applyFill="1" applyBorder="1"/>
    <xf numFmtId="0" fontId="72" fillId="3" borderId="1" xfId="6" applyFont="1" applyFill="1" applyBorder="1" applyAlignment="1">
      <alignment horizontal="left" indent="2"/>
    </xf>
    <xf numFmtId="0" fontId="72" fillId="3" borderId="1" xfId="6" applyFont="1" applyFill="1" applyBorder="1"/>
    <xf numFmtId="177" fontId="72" fillId="3" borderId="1" xfId="6" applyNumberFormat="1" applyFont="1" applyFill="1" applyBorder="1"/>
    <xf numFmtId="177" fontId="74" fillId="3" borderId="1" xfId="6" applyNumberFormat="1" applyFont="1" applyFill="1" applyBorder="1"/>
    <xf numFmtId="177" fontId="74" fillId="0" borderId="0" xfId="6" applyNumberFormat="1" applyFont="1"/>
    <xf numFmtId="0" fontId="77" fillId="3" borderId="1" xfId="6" applyFont="1" applyFill="1" applyBorder="1" applyAlignment="1">
      <alignment wrapText="1"/>
    </xf>
    <xf numFmtId="176" fontId="72" fillId="3" borderId="1" xfId="6" applyNumberFormat="1" applyFont="1" applyFill="1" applyBorder="1"/>
    <xf numFmtId="176" fontId="74" fillId="3" borderId="1" xfId="6" applyNumberFormat="1" applyFont="1" applyFill="1" applyBorder="1"/>
    <xf numFmtId="0" fontId="72" fillId="0" borderId="0" xfId="6" applyFont="1" applyAlignment="1">
      <alignment horizontal="left" indent="1"/>
    </xf>
    <xf numFmtId="0" fontId="72" fillId="0" borderId="0" xfId="6" applyFont="1"/>
    <xf numFmtId="0" fontId="77" fillId="0" borderId="0" xfId="6" applyFont="1"/>
    <xf numFmtId="3" fontId="72" fillId="0" borderId="0" xfId="6" applyNumberFormat="1" applyFont="1"/>
    <xf numFmtId="3" fontId="74" fillId="0" borderId="0" xfId="6" applyNumberFormat="1" applyFont="1"/>
    <xf numFmtId="1" fontId="74" fillId="0" borderId="0" xfId="6" applyNumberFormat="1" applyFont="1"/>
    <xf numFmtId="0" fontId="71" fillId="0" borderId="0" xfId="6" applyFont="1"/>
    <xf numFmtId="0" fontId="72" fillId="0" borderId="2" xfId="6" applyFont="1" applyBorder="1"/>
    <xf numFmtId="179" fontId="72" fillId="0" borderId="1" xfId="6" applyNumberFormat="1" applyFont="1" applyBorder="1"/>
    <xf numFmtId="178" fontId="72" fillId="0" borderId="0" xfId="6" applyNumberFormat="1" applyFont="1"/>
    <xf numFmtId="178" fontId="74" fillId="0" borderId="0" xfId="6" applyNumberFormat="1" applyFont="1"/>
    <xf numFmtId="179" fontId="74" fillId="0" borderId="1" xfId="6" applyNumberFormat="1" applyFont="1" applyBorder="1"/>
    <xf numFmtId="179" fontId="72" fillId="0" borderId="0" xfId="6" applyNumberFormat="1" applyFont="1"/>
    <xf numFmtId="179" fontId="74" fillId="0" borderId="0" xfId="6" applyNumberFormat="1" applyFont="1"/>
    <xf numFmtId="0" fontId="89" fillId="0" borderId="1" xfId="4" applyFont="1" applyBorder="1" applyAlignment="1">
      <alignment wrapText="1"/>
    </xf>
    <xf numFmtId="0" fontId="89" fillId="0" borderId="1" xfId="4" applyFont="1" applyBorder="1" applyAlignment="1">
      <alignment horizontal="left" wrapText="1" indent="1"/>
    </xf>
    <xf numFmtId="9" fontId="77" fillId="0" borderId="0" xfId="6" applyNumberFormat="1" applyFont="1"/>
    <xf numFmtId="2" fontId="86" fillId="0" borderId="1" xfId="4" applyNumberFormat="1" applyFont="1" applyBorder="1" applyAlignment="1">
      <alignment horizontal="center"/>
    </xf>
    <xf numFmtId="0" fontId="89" fillId="0" borderId="0" xfId="4" applyFont="1" applyAlignment="1">
      <alignment wrapText="1"/>
    </xf>
    <xf numFmtId="0" fontId="86" fillId="0" borderId="0" xfId="4" applyFont="1" applyAlignment="1">
      <alignment horizontal="center"/>
    </xf>
    <xf numFmtId="2" fontId="86" fillId="0" borderId="0" xfId="4" applyNumberFormat="1" applyFont="1" applyAlignment="1">
      <alignment horizontal="center"/>
    </xf>
    <xf numFmtId="0" fontId="89" fillId="0" borderId="0" xfId="4" applyFont="1"/>
    <xf numFmtId="0" fontId="74" fillId="0" borderId="0" xfId="6" applyFont="1" applyAlignment="1">
      <alignment horizontal="left"/>
    </xf>
    <xf numFmtId="0" fontId="89" fillId="3" borderId="1" xfId="4" applyFont="1" applyFill="1" applyBorder="1" applyAlignment="1">
      <alignment wrapText="1"/>
    </xf>
    <xf numFmtId="179" fontId="72" fillId="3" borderId="1" xfId="6" applyNumberFormat="1" applyFont="1" applyFill="1" applyBorder="1"/>
    <xf numFmtId="179" fontId="74" fillId="3" borderId="1" xfId="6" applyNumberFormat="1" applyFont="1" applyFill="1" applyBorder="1"/>
    <xf numFmtId="179" fontId="74" fillId="3" borderId="2" xfId="6" applyNumberFormat="1" applyFont="1" applyFill="1" applyBorder="1"/>
    <xf numFmtId="179" fontId="74" fillId="3" borderId="24" xfId="6" applyNumberFormat="1" applyFont="1" applyFill="1" applyBorder="1"/>
    <xf numFmtId="0" fontId="89" fillId="3" borderId="1" xfId="4" applyFont="1" applyFill="1" applyBorder="1" applyAlignment="1">
      <alignment horizontal="left" wrapText="1" indent="1"/>
    </xf>
    <xf numFmtId="179" fontId="74" fillId="3" borderId="25" xfId="6" applyNumberFormat="1" applyFont="1" applyFill="1" applyBorder="1"/>
    <xf numFmtId="0" fontId="72" fillId="26" borderId="0" xfId="6" applyFont="1" applyFill="1"/>
    <xf numFmtId="0" fontId="77" fillId="26" borderId="0" xfId="6" applyFont="1" applyFill="1"/>
    <xf numFmtId="0" fontId="74" fillId="26" borderId="0" xfId="6" applyFont="1" applyFill="1"/>
    <xf numFmtId="0" fontId="89" fillId="26" borderId="0" xfId="4" applyFont="1" applyFill="1" applyAlignment="1">
      <alignment wrapText="1"/>
    </xf>
    <xf numFmtId="180" fontId="72" fillId="3" borderId="35" xfId="6" applyNumberFormat="1" applyFont="1" applyFill="1" applyBorder="1"/>
    <xf numFmtId="0" fontId="89" fillId="3" borderId="36" xfId="4" applyFont="1" applyFill="1" applyBorder="1"/>
    <xf numFmtId="180" fontId="72" fillId="3" borderId="37" xfId="6" applyNumberFormat="1" applyFont="1" applyFill="1" applyBorder="1"/>
    <xf numFmtId="2" fontId="89" fillId="26" borderId="0" xfId="4" applyNumberFormat="1" applyFont="1" applyFill="1"/>
    <xf numFmtId="1" fontId="90" fillId="26" borderId="0" xfId="4" applyNumberFormat="1" applyFont="1" applyFill="1"/>
    <xf numFmtId="1" fontId="89" fillId="3" borderId="39" xfId="4" applyNumberFormat="1" applyFont="1" applyFill="1" applyBorder="1"/>
    <xf numFmtId="0" fontId="89" fillId="3" borderId="40" xfId="4" applyFont="1" applyFill="1" applyBorder="1"/>
    <xf numFmtId="1" fontId="89" fillId="3" borderId="41" xfId="4" applyNumberFormat="1" applyFont="1" applyFill="1" applyBorder="1"/>
    <xf numFmtId="0" fontId="89" fillId="26" borderId="0" xfId="4" applyFont="1" applyFill="1"/>
    <xf numFmtId="9" fontId="89" fillId="3" borderId="39" xfId="5" applyFont="1" applyFill="1" applyBorder="1"/>
    <xf numFmtId="9" fontId="89" fillId="3" borderId="41" xfId="5" applyFont="1" applyFill="1" applyBorder="1" applyAlignment="1"/>
    <xf numFmtId="3" fontId="89" fillId="3" borderId="44" xfId="4" applyNumberFormat="1" applyFont="1" applyFill="1" applyBorder="1"/>
    <xf numFmtId="0" fontId="89" fillId="3" borderId="45" xfId="4" applyFont="1" applyFill="1" applyBorder="1"/>
    <xf numFmtId="3" fontId="89" fillId="3" borderId="46" xfId="4" applyNumberFormat="1" applyFont="1" applyFill="1" applyBorder="1"/>
    <xf numFmtId="3" fontId="89" fillId="26" borderId="0" xfId="4" applyNumberFormat="1" applyFont="1" applyFill="1"/>
    <xf numFmtId="0" fontId="74" fillId="0" borderId="24" xfId="6" applyFont="1" applyBorder="1" applyAlignment="1">
      <alignment wrapText="1"/>
    </xf>
    <xf numFmtId="178" fontId="83" fillId="0" borderId="47" xfId="6" applyNumberFormat="1" applyFont="1" applyBorder="1"/>
    <xf numFmtId="0" fontId="74" fillId="0" borderId="48" xfId="6" applyFont="1" applyBorder="1"/>
    <xf numFmtId="178" fontId="83" fillId="0" borderId="0" xfId="6" applyNumberFormat="1" applyFont="1"/>
    <xf numFmtId="2" fontId="86" fillId="0" borderId="0" xfId="5" applyNumberFormat="1" applyFont="1" applyBorder="1" applyAlignment="1">
      <alignment horizontal="center"/>
    </xf>
    <xf numFmtId="0" fontId="74" fillId="0" borderId="49" xfId="6" applyFont="1" applyBorder="1" applyAlignment="1">
      <alignment wrapText="1"/>
    </xf>
    <xf numFmtId="178" fontId="83" fillId="0" borderId="50" xfId="6" applyNumberFormat="1" applyFont="1" applyBorder="1"/>
    <xf numFmtId="0" fontId="74" fillId="0" borderId="51" xfId="6" applyFont="1" applyBorder="1"/>
    <xf numFmtId="0" fontId="74" fillId="0" borderId="52" xfId="6" applyFont="1" applyBorder="1" applyAlignment="1">
      <alignment wrapText="1"/>
    </xf>
    <xf numFmtId="178" fontId="83" fillId="25" borderId="53" xfId="6" applyNumberFormat="1" applyFont="1" applyFill="1" applyBorder="1"/>
    <xf numFmtId="0" fontId="74" fillId="0" borderId="54" xfId="6" applyFont="1" applyBorder="1"/>
    <xf numFmtId="3" fontId="83" fillId="0" borderId="53" xfId="6" applyNumberFormat="1" applyFont="1" applyBorder="1"/>
    <xf numFmtId="181" fontId="83" fillId="0" borderId="0" xfId="6" applyNumberFormat="1" applyFont="1"/>
    <xf numFmtId="0" fontId="74" fillId="0" borderId="25" xfId="6" applyFont="1" applyBorder="1" applyAlignment="1">
      <alignment wrapText="1"/>
    </xf>
    <xf numFmtId="3" fontId="83" fillId="0" borderId="55" xfId="6" applyNumberFormat="1" applyFont="1" applyBorder="1"/>
    <xf numFmtId="0" fontId="74" fillId="0" borderId="56" xfId="6" applyFont="1" applyBorder="1"/>
    <xf numFmtId="3" fontId="83" fillId="0" borderId="0" xfId="6" applyNumberFormat="1" applyFont="1"/>
    <xf numFmtId="0" fontId="91" fillId="0" borderId="0" xfId="4" applyFont="1" applyAlignment="1">
      <alignment wrapText="1"/>
    </xf>
    <xf numFmtId="0" fontId="91" fillId="0" borderId="0" xfId="4" applyFont="1"/>
    <xf numFmtId="0" fontId="93" fillId="0" borderId="0" xfId="0" applyFont="1"/>
    <xf numFmtId="0" fontId="74" fillId="0" borderId="0" xfId="0" applyFont="1"/>
    <xf numFmtId="0" fontId="74" fillId="0" borderId="0" xfId="7" applyFont="1"/>
    <xf numFmtId="0" fontId="94" fillId="0" borderId="0" xfId="0" applyFont="1"/>
    <xf numFmtId="0" fontId="71" fillId="0" borderId="1" xfId="0" applyFont="1" applyBorder="1" applyAlignment="1">
      <alignment wrapText="1"/>
    </xf>
    <xf numFmtId="0" fontId="71" fillId="0" borderId="1" xfId="0" applyFont="1" applyBorder="1"/>
    <xf numFmtId="3" fontId="71" fillId="0" borderId="1" xfId="0" applyNumberFormat="1" applyFont="1" applyBorder="1"/>
    <xf numFmtId="3" fontId="72" fillId="0" borderId="1" xfId="0" applyNumberFormat="1" applyFont="1" applyBorder="1"/>
    <xf numFmtId="9" fontId="72" fillId="0" borderId="1" xfId="8" applyFont="1" applyBorder="1"/>
    <xf numFmtId="0" fontId="74" fillId="0" borderId="1" xfId="0" applyFont="1" applyBorder="1"/>
    <xf numFmtId="3" fontId="74" fillId="0" borderId="1" xfId="0" applyNumberFormat="1" applyFont="1" applyBorder="1"/>
    <xf numFmtId="0" fontId="94" fillId="31" borderId="1" xfId="0" applyFont="1" applyFill="1" applyBorder="1"/>
    <xf numFmtId="3" fontId="94" fillId="31" borderId="1" xfId="0" applyNumberFormat="1" applyFont="1" applyFill="1" applyBorder="1"/>
    <xf numFmtId="0" fontId="74" fillId="31" borderId="1" xfId="0" applyFont="1" applyFill="1" applyBorder="1"/>
    <xf numFmtId="0" fontId="95" fillId="0" borderId="0" xfId="0" applyFont="1" applyAlignment="1">
      <alignment wrapText="1"/>
    </xf>
    <xf numFmtId="0" fontId="74" fillId="0" borderId="1" xfId="0" applyFont="1" applyBorder="1" applyAlignment="1">
      <alignment horizontal="center"/>
    </xf>
    <xf numFmtId="0" fontId="74" fillId="0" borderId="1" xfId="0" applyFont="1" applyBorder="1" applyAlignment="1">
      <alignment horizontal="left" indent="1"/>
    </xf>
    <xf numFmtId="0" fontId="74" fillId="0" borderId="0" xfId="9" applyFont="1"/>
    <xf numFmtId="0" fontId="72" fillId="27" borderId="2" xfId="0" applyFont="1" applyFill="1" applyBorder="1" applyAlignment="1">
      <alignment horizontal="center" vertical="top"/>
    </xf>
    <xf numFmtId="0" fontId="72" fillId="27" borderId="4" xfId="0" applyFont="1" applyFill="1" applyBorder="1" applyAlignment="1">
      <alignment horizontal="center" vertical="top"/>
    </xf>
    <xf numFmtId="0" fontId="71" fillId="32" borderId="1" xfId="0" applyFont="1" applyFill="1" applyBorder="1"/>
    <xf numFmtId="0" fontId="72" fillId="32" borderId="2" xfId="0" applyFont="1" applyFill="1" applyBorder="1"/>
    <xf numFmtId="0" fontId="72" fillId="32" borderId="4" xfId="0" applyFont="1" applyFill="1" applyBorder="1"/>
    <xf numFmtId="0" fontId="72" fillId="0" borderId="2" xfId="0" applyFont="1" applyBorder="1"/>
    <xf numFmtId="0" fontId="72" fillId="0" borderId="4" xfId="0" applyFont="1" applyBorder="1"/>
    <xf numFmtId="3" fontId="72" fillId="0" borderId="2" xfId="0" applyNumberFormat="1" applyFont="1" applyBorder="1"/>
    <xf numFmtId="3" fontId="72" fillId="0" borderId="4" xfId="0" applyNumberFormat="1" applyFont="1" applyBorder="1"/>
    <xf numFmtId="9" fontId="74" fillId="0" borderId="0" xfId="10" applyFont="1" applyFill="1"/>
    <xf numFmtId="1" fontId="74" fillId="0" borderId="0" xfId="0" applyNumberFormat="1" applyFont="1"/>
    <xf numFmtId="0" fontId="96" fillId="0" borderId="1" xfId="0" applyFont="1" applyBorder="1"/>
    <xf numFmtId="0" fontId="72" fillId="32" borderId="1" xfId="0" applyFont="1" applyFill="1" applyBorder="1" applyAlignment="1">
      <alignment horizontal="center" vertical="top" wrapText="1"/>
    </xf>
    <xf numFmtId="0" fontId="74" fillId="0" borderId="0" xfId="0" applyFont="1" applyAlignment="1">
      <alignment horizontal="center" vertical="top" wrapText="1"/>
    </xf>
    <xf numFmtId="3" fontId="72" fillId="0" borderId="0" xfId="0" applyNumberFormat="1" applyFont="1"/>
    <xf numFmtId="0" fontId="71" fillId="31" borderId="1" xfId="0" applyFont="1" applyFill="1" applyBorder="1"/>
    <xf numFmtId="3" fontId="71" fillId="31" borderId="4" xfId="0" applyNumberFormat="1" applyFont="1" applyFill="1" applyBorder="1"/>
    <xf numFmtId="3" fontId="71" fillId="31" borderId="1" xfId="0" applyNumberFormat="1" applyFont="1" applyFill="1" applyBorder="1"/>
    <xf numFmtId="3" fontId="94" fillId="0" borderId="0" xfId="0" applyNumberFormat="1" applyFont="1"/>
    <xf numFmtId="0" fontId="71" fillId="31" borderId="11" xfId="0" applyFont="1" applyFill="1" applyBorder="1"/>
    <xf numFmtId="3" fontId="71" fillId="31" borderId="13" xfId="0" applyNumberFormat="1" applyFont="1" applyFill="1" applyBorder="1"/>
    <xf numFmtId="3" fontId="71" fillId="31" borderId="12" xfId="0" applyNumberFormat="1" applyFont="1" applyFill="1" applyBorder="1"/>
    <xf numFmtId="0" fontId="71" fillId="31" borderId="14" xfId="0" applyFont="1" applyFill="1" applyBorder="1"/>
    <xf numFmtId="3" fontId="71" fillId="31" borderId="14" xfId="0" applyNumberFormat="1" applyFont="1" applyFill="1" applyBorder="1"/>
    <xf numFmtId="3" fontId="71" fillId="31" borderId="15" xfId="0" applyNumberFormat="1" applyFont="1" applyFill="1" applyBorder="1"/>
    <xf numFmtId="3" fontId="71" fillId="31" borderId="10" xfId="0" applyNumberFormat="1" applyFont="1" applyFill="1" applyBorder="1"/>
    <xf numFmtId="0" fontId="74" fillId="0" borderId="0" xfId="0" applyFont="1" applyAlignment="1">
      <alignment horizontal="left" wrapText="1" indent="1"/>
    </xf>
    <xf numFmtId="3" fontId="74" fillId="0" borderId="0" xfId="0" applyNumberFormat="1" applyFont="1"/>
    <xf numFmtId="0" fontId="89" fillId="26" borderId="10" xfId="0" applyFont="1" applyFill="1" applyBorder="1" applyAlignment="1">
      <alignment vertical="center" wrapText="1"/>
    </xf>
    <xf numFmtId="0" fontId="2" fillId="0" borderId="0" xfId="3"/>
    <xf numFmtId="0" fontId="69" fillId="0" borderId="0" xfId="3" applyFont="1"/>
    <xf numFmtId="3" fontId="2" fillId="0" borderId="0" xfId="3" applyNumberFormat="1"/>
    <xf numFmtId="0" fontId="98" fillId="0" borderId="0" xfId="3" applyFont="1" applyAlignment="1">
      <alignment wrapText="1"/>
    </xf>
    <xf numFmtId="0" fontId="99" fillId="0" borderId="0" xfId="3" applyFont="1" applyAlignment="1">
      <alignment horizontal="left" vertical="top" wrapText="1"/>
    </xf>
    <xf numFmtId="0" fontId="2" fillId="0" borderId="0" xfId="3" applyAlignment="1">
      <alignment horizontal="center"/>
    </xf>
    <xf numFmtId="0" fontId="100" fillId="0" borderId="0" xfId="3" applyFont="1"/>
    <xf numFmtId="0" fontId="101" fillId="0" borderId="0" xfId="3" applyFont="1" applyAlignment="1">
      <alignment horizontal="left" indent="1"/>
    </xf>
    <xf numFmtId="0" fontId="101" fillId="0" borderId="0" xfId="3" applyFont="1"/>
    <xf numFmtId="0" fontId="101" fillId="0" borderId="0" xfId="3" applyFont="1" applyAlignment="1">
      <alignment wrapText="1"/>
    </xf>
    <xf numFmtId="174" fontId="101" fillId="0" borderId="0" xfId="3" applyNumberFormat="1" applyFont="1"/>
    <xf numFmtId="0" fontId="2" fillId="0" borderId="0" xfId="3" applyAlignment="1">
      <alignment horizontal="left"/>
    </xf>
    <xf numFmtId="9" fontId="0" fillId="0" borderId="0" xfId="11" applyFont="1" applyFill="1" applyBorder="1"/>
    <xf numFmtId="0" fontId="2" fillId="0" borderId="0" xfId="3" applyAlignment="1">
      <alignment horizontal="center" vertical="top"/>
    </xf>
    <xf numFmtId="0" fontId="2" fillId="0" borderId="0" xfId="3" applyAlignment="1">
      <alignment horizontal="center" vertical="top" wrapText="1"/>
    </xf>
    <xf numFmtId="0" fontId="2" fillId="0" borderId="0" xfId="3" applyAlignment="1">
      <alignment horizontal="left" indent="1"/>
    </xf>
    <xf numFmtId="3" fontId="69" fillId="0" borderId="0" xfId="3" applyNumberFormat="1" applyFont="1"/>
    <xf numFmtId="3" fontId="101" fillId="0" borderId="0" xfId="3" applyNumberFormat="1" applyFont="1"/>
    <xf numFmtId="0" fontId="69" fillId="32" borderId="0" xfId="0" applyFont="1" applyFill="1"/>
    <xf numFmtId="0" fontId="0" fillId="32" borderId="0" xfId="0" applyFill="1"/>
    <xf numFmtId="3" fontId="0" fillId="32" borderId="0" xfId="0" applyNumberFormat="1" applyFill="1"/>
    <xf numFmtId="0" fontId="68" fillId="0" borderId="0" xfId="3" applyFont="1" applyAlignment="1">
      <alignment vertical="top" wrapText="1"/>
    </xf>
    <xf numFmtId="0" fontId="69" fillId="0" borderId="0" xfId="0" applyFont="1"/>
    <xf numFmtId="3" fontId="0" fillId="0" borderId="0" xfId="0" applyNumberFormat="1"/>
    <xf numFmtId="0" fontId="0" fillId="0" borderId="1" xfId="0" applyBorder="1"/>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100" fillId="0" borderId="1" xfId="0" applyFont="1" applyBorder="1"/>
    <xf numFmtId="9" fontId="0" fillId="0" borderId="0" xfId="11" applyFont="1"/>
    <xf numFmtId="0" fontId="0" fillId="0" borderId="1" xfId="0" applyBorder="1" applyAlignment="1">
      <alignment horizontal="left" indent="2"/>
    </xf>
    <xf numFmtId="3" fontId="0" fillId="0" borderId="1" xfId="0" applyNumberFormat="1" applyBorder="1"/>
    <xf numFmtId="0" fontId="69" fillId="0" borderId="1" xfId="0" applyFont="1" applyBorder="1" applyAlignment="1">
      <alignment horizontal="left" indent="2"/>
    </xf>
    <xf numFmtId="0" fontId="69" fillId="0" borderId="1" xfId="0" applyFont="1" applyBorder="1"/>
    <xf numFmtId="3" fontId="69" fillId="0" borderId="1" xfId="0" applyNumberFormat="1" applyFont="1" applyBorder="1"/>
    <xf numFmtId="0" fontId="99" fillId="0" borderId="0" xfId="3" applyFont="1" applyAlignment="1">
      <alignment vertical="top" wrapText="1"/>
    </xf>
    <xf numFmtId="1" fontId="0" fillId="0" borderId="1" xfId="0" applyNumberFormat="1" applyBorder="1"/>
    <xf numFmtId="0" fontId="69" fillId="0" borderId="0" xfId="0" applyFont="1" applyAlignment="1">
      <alignment wrapText="1"/>
    </xf>
    <xf numFmtId="0" fontId="2" fillId="0" borderId="0" xfId="12"/>
    <xf numFmtId="0" fontId="69" fillId="0" borderId="1" xfId="0" applyFont="1" applyBorder="1" applyAlignment="1">
      <alignment wrapText="1"/>
    </xf>
    <xf numFmtId="0" fontId="0" fillId="0" borderId="1" xfId="0" applyBorder="1" applyAlignment="1">
      <alignment horizontal="center" wrapText="1"/>
    </xf>
    <xf numFmtId="0" fontId="107" fillId="0" borderId="1" xfId="0" applyFont="1" applyBorder="1" applyAlignment="1">
      <alignment horizontal="center" vertical="top" wrapText="1"/>
    </xf>
    <xf numFmtId="0" fontId="100" fillId="0" borderId="1" xfId="0" applyFont="1" applyBorder="1" applyAlignment="1">
      <alignment wrapText="1"/>
    </xf>
    <xf numFmtId="0" fontId="0" fillId="0" borderId="1" xfId="0" applyBorder="1" applyAlignment="1">
      <alignment wrapText="1"/>
    </xf>
    <xf numFmtId="3" fontId="0" fillId="0" borderId="1" xfId="0" applyNumberFormat="1" applyBorder="1" applyAlignment="1">
      <alignment wrapText="1"/>
    </xf>
    <xf numFmtId="0" fontId="108" fillId="0" borderId="1" xfId="0" applyFont="1" applyBorder="1" applyAlignment="1">
      <alignment wrapText="1"/>
    </xf>
    <xf numFmtId="3" fontId="109" fillId="0" borderId="1" xfId="0" applyNumberFormat="1" applyFont="1" applyBorder="1" applyAlignment="1">
      <alignment wrapText="1"/>
    </xf>
    <xf numFmtId="0" fontId="109" fillId="0" borderId="1" xfId="0" applyFont="1" applyBorder="1" applyAlignment="1">
      <alignment horizontal="left" wrapText="1" indent="1"/>
    </xf>
    <xf numFmtId="0" fontId="107" fillId="0" borderId="1" xfId="0" applyFont="1" applyBorder="1" applyAlignment="1">
      <alignment horizontal="left" wrapText="1" indent="1"/>
    </xf>
    <xf numFmtId="3" fontId="0" fillId="0" borderId="1" xfId="0" applyNumberFormat="1" applyBorder="1" applyAlignment="1">
      <alignment horizontal="left" wrapText="1" indent="1"/>
    </xf>
    <xf numFmtId="0" fontId="110" fillId="0" borderId="1" xfId="0" applyFont="1" applyBorder="1" applyAlignment="1">
      <alignment horizontal="left" wrapText="1" indent="3"/>
    </xf>
    <xf numFmtId="3" fontId="111" fillId="0" borderId="1" xfId="0" applyNumberFormat="1" applyFont="1" applyBorder="1" applyAlignment="1">
      <alignment wrapText="1"/>
    </xf>
    <xf numFmtId="3" fontId="112" fillId="0" borderId="1" xfId="0" applyNumberFormat="1" applyFont="1" applyBorder="1" applyAlignment="1">
      <alignment wrapText="1"/>
    </xf>
    <xf numFmtId="0" fontId="111" fillId="0" borderId="1" xfId="0" applyFont="1" applyBorder="1" applyAlignment="1">
      <alignment horizontal="left" wrapText="1" indent="4"/>
    </xf>
    <xf numFmtId="3" fontId="111" fillId="0" borderId="1" xfId="0" applyNumberFormat="1" applyFont="1" applyBorder="1" applyAlignment="1">
      <alignment horizontal="left" wrapText="1" indent="3"/>
    </xf>
    <xf numFmtId="3" fontId="109" fillId="0" borderId="1" xfId="0" applyNumberFormat="1" applyFont="1" applyBorder="1"/>
    <xf numFmtId="0" fontId="109" fillId="0" borderId="1" xfId="0" applyFont="1" applyBorder="1"/>
    <xf numFmtId="0" fontId="68" fillId="0" borderId="1" xfId="0" applyFont="1" applyBorder="1" applyAlignment="1">
      <alignment horizontal="left" wrapText="1"/>
    </xf>
    <xf numFmtId="0" fontId="0" fillId="0" borderId="1" xfId="0" applyBorder="1" applyAlignment="1">
      <alignment horizontal="left" wrapText="1" indent="1"/>
    </xf>
    <xf numFmtId="0" fontId="113" fillId="0" borderId="1" xfId="0" applyFont="1" applyBorder="1" applyAlignment="1">
      <alignment wrapText="1"/>
    </xf>
    <xf numFmtId="3" fontId="0" fillId="33" borderId="1" xfId="0" applyNumberFormat="1" applyFill="1" applyBorder="1" applyAlignment="1">
      <alignment wrapText="1"/>
    </xf>
    <xf numFmtId="0" fontId="0" fillId="0" borderId="1" xfId="0" applyBorder="1" applyAlignment="1">
      <alignment horizontal="right"/>
    </xf>
    <xf numFmtId="3" fontId="0" fillId="0" borderId="1" xfId="0" applyNumberFormat="1" applyBorder="1" applyAlignment="1">
      <alignment horizontal="right"/>
    </xf>
    <xf numFmtId="174" fontId="0" fillId="0" borderId="1" xfId="0" applyNumberFormat="1" applyBorder="1"/>
    <xf numFmtId="0" fontId="100" fillId="0" borderId="1" xfId="0" applyFont="1" applyBorder="1" applyAlignment="1">
      <alignment horizontal="left" wrapText="1" indent="1"/>
    </xf>
    <xf numFmtId="3" fontId="100" fillId="0" borderId="1" xfId="0" applyNumberFormat="1" applyFont="1" applyBorder="1" applyAlignment="1">
      <alignment wrapText="1"/>
    </xf>
    <xf numFmtId="0" fontId="69" fillId="0" borderId="0" xfId="13" applyFont="1"/>
    <xf numFmtId="0" fontId="1" fillId="0" borderId="0" xfId="13"/>
    <xf numFmtId="0" fontId="69" fillId="32" borderId="2" xfId="13" applyFont="1" applyFill="1" applyBorder="1"/>
    <xf numFmtId="0" fontId="1" fillId="32" borderId="3" xfId="13" applyFill="1" applyBorder="1"/>
    <xf numFmtId="3" fontId="1" fillId="32" borderId="3" xfId="13" applyNumberFormat="1" applyFill="1" applyBorder="1"/>
    <xf numFmtId="0" fontId="1" fillId="32" borderId="4" xfId="13" applyFill="1" applyBorder="1"/>
    <xf numFmtId="0" fontId="1" fillId="0" borderId="1" xfId="13" applyBorder="1" applyAlignment="1">
      <alignment horizontal="center"/>
    </xf>
    <xf numFmtId="0" fontId="1" fillId="0" borderId="1" xfId="13" applyBorder="1"/>
    <xf numFmtId="0" fontId="1" fillId="0" borderId="1" xfId="13" applyBorder="1" applyAlignment="1">
      <alignment horizontal="center" vertical="top" wrapText="1"/>
    </xf>
    <xf numFmtId="3" fontId="1" fillId="0" borderId="1" xfId="13" applyNumberFormat="1" applyBorder="1" applyAlignment="1">
      <alignment horizontal="center" vertical="top" wrapText="1"/>
    </xf>
    <xf numFmtId="3" fontId="1" fillId="0" borderId="1" xfId="13" applyNumberFormat="1" applyBorder="1"/>
    <xf numFmtId="168" fontId="0" fillId="0" borderId="1" xfId="14" applyNumberFormat="1" applyFont="1" applyBorder="1"/>
    <xf numFmtId="3" fontId="1" fillId="31" borderId="1" xfId="13" applyNumberFormat="1" applyFill="1" applyBorder="1"/>
    <xf numFmtId="0" fontId="1" fillId="0" borderId="1" xfId="13" applyBorder="1" applyAlignment="1">
      <alignment horizontal="right"/>
    </xf>
    <xf numFmtId="0" fontId="1" fillId="0" borderId="1" xfId="13" applyBorder="1" applyAlignment="1">
      <alignment horizontal="left" indent="1"/>
    </xf>
    <xf numFmtId="168" fontId="109" fillId="0" borderId="1" xfId="14" applyNumberFormat="1" applyFont="1" applyBorder="1"/>
    <xf numFmtId="0" fontId="68" fillId="0" borderId="1" xfId="13" applyFont="1" applyBorder="1"/>
    <xf numFmtId="0" fontId="69" fillId="0" borderId="1" xfId="13" applyFont="1" applyBorder="1"/>
    <xf numFmtId="3" fontId="69" fillId="0" borderId="1" xfId="13" applyNumberFormat="1" applyFont="1" applyBorder="1"/>
    <xf numFmtId="9" fontId="69" fillId="0" borderId="1" xfId="14" applyFont="1" applyBorder="1"/>
    <xf numFmtId="0" fontId="69" fillId="32" borderId="11" xfId="13" applyFont="1" applyFill="1" applyBorder="1"/>
    <xf numFmtId="9" fontId="0" fillId="0" borderId="1" xfId="14" applyFont="1" applyBorder="1"/>
    <xf numFmtId="0" fontId="1" fillId="0" borderId="0" xfId="13" applyAlignment="1">
      <alignment horizontal="center"/>
    </xf>
    <xf numFmtId="0" fontId="69" fillId="31" borderId="2" xfId="13" applyFont="1" applyFill="1" applyBorder="1"/>
    <xf numFmtId="0" fontId="1" fillId="31" borderId="3" xfId="13" applyFill="1" applyBorder="1"/>
    <xf numFmtId="3" fontId="69" fillId="31" borderId="1" xfId="13" applyNumberFormat="1" applyFont="1" applyFill="1" applyBorder="1"/>
    <xf numFmtId="0" fontId="1" fillId="31" borderId="1" xfId="13" applyFill="1" applyBorder="1"/>
    <xf numFmtId="3" fontId="68" fillId="0" borderId="0" xfId="13" applyNumberFormat="1" applyFont="1"/>
    <xf numFmtId="0" fontId="68" fillId="0" borderId="0" xfId="13" applyFont="1"/>
    <xf numFmtId="0" fontId="68" fillId="0" borderId="0" xfId="13" quotePrefix="1" applyFont="1"/>
    <xf numFmtId="0" fontId="0" fillId="3" borderId="1" xfId="0" applyFill="1" applyBorder="1"/>
    <xf numFmtId="174" fontId="0" fillId="3" borderId="1" xfId="0" applyNumberFormat="1" applyFill="1" applyBorder="1"/>
    <xf numFmtId="173" fontId="0" fillId="3" borderId="1" xfId="0" applyNumberFormat="1" applyFill="1" applyBorder="1"/>
    <xf numFmtId="3" fontId="0" fillId="3" borderId="1" xfId="0" applyNumberFormat="1" applyFill="1" applyBorder="1"/>
    <xf numFmtId="3" fontId="109" fillId="3" borderId="1" xfId="0" applyNumberFormat="1" applyFont="1" applyFill="1" applyBorder="1" applyAlignment="1">
      <alignment horizontal="center"/>
    </xf>
    <xf numFmtId="0" fontId="109" fillId="3" borderId="1" xfId="0" applyFont="1" applyFill="1" applyBorder="1" applyAlignment="1">
      <alignment horizontal="center"/>
    </xf>
    <xf numFmtId="0" fontId="0" fillId="3" borderId="1" xfId="0" applyFill="1" applyBorder="1" applyAlignment="1">
      <alignment horizontal="center"/>
    </xf>
    <xf numFmtId="9" fontId="0" fillId="0" borderId="0" xfId="14" applyFont="1" applyFill="1"/>
    <xf numFmtId="168" fontId="0" fillId="0" borderId="0" xfId="14" applyNumberFormat="1" applyFont="1" applyFill="1"/>
    <xf numFmtId="168" fontId="0" fillId="0" borderId="1" xfId="14" applyNumberFormat="1" applyFont="1" applyFill="1" applyBorder="1" applyAlignment="1">
      <alignment wrapText="1"/>
    </xf>
    <xf numFmtId="9" fontId="0" fillId="0" borderId="0" xfId="14" applyFont="1"/>
    <xf numFmtId="9" fontId="0" fillId="0" borderId="1" xfId="14" applyFont="1" applyFill="1" applyBorder="1" applyAlignment="1">
      <alignment wrapText="1"/>
    </xf>
    <xf numFmtId="3" fontId="94" fillId="0" borderId="1" xfId="0" applyNumberFormat="1" applyFont="1" applyBorder="1"/>
    <xf numFmtId="9" fontId="74" fillId="0" borderId="1" xfId="14" applyFont="1" applyBorder="1" applyAlignment="1">
      <alignment horizontal="center"/>
    </xf>
    <xf numFmtId="0" fontId="74" fillId="0" borderId="1" xfId="0" applyFont="1" applyBorder="1" applyAlignment="1">
      <alignment horizontal="left" wrapText="1" indent="1"/>
    </xf>
    <xf numFmtId="9" fontId="74" fillId="0" borderId="1" xfId="14" applyFont="1" applyBorder="1"/>
    <xf numFmtId="168" fontId="74" fillId="0" borderId="1" xfId="14" applyNumberFormat="1" applyFont="1" applyBorder="1"/>
    <xf numFmtId="0" fontId="74" fillId="32" borderId="2" xfId="0" applyFont="1" applyFill="1" applyBorder="1"/>
    <xf numFmtId="0" fontId="74" fillId="32" borderId="4" xfId="0" applyFont="1" applyFill="1" applyBorder="1"/>
    <xf numFmtId="0" fontId="74" fillId="32" borderId="1" xfId="0" applyFont="1" applyFill="1" applyBorder="1"/>
    <xf numFmtId="0" fontId="74" fillId="0" borderId="2" xfId="0" applyFont="1" applyBorder="1"/>
    <xf numFmtId="0" fontId="74" fillId="0" borderId="4" xfId="0" applyFont="1" applyBorder="1"/>
    <xf numFmtId="3" fontId="74" fillId="0" borderId="2" xfId="0" applyNumberFormat="1" applyFont="1" applyBorder="1"/>
    <xf numFmtId="3" fontId="74" fillId="0" borderId="4" xfId="0" applyNumberFormat="1" applyFont="1" applyBorder="1"/>
    <xf numFmtId="3" fontId="115" fillId="0" borderId="2" xfId="0" applyNumberFormat="1" applyFont="1" applyBorder="1"/>
    <xf numFmtId="3" fontId="115" fillId="0" borderId="4" xfId="0" applyNumberFormat="1" applyFont="1" applyBorder="1"/>
    <xf numFmtId="3" fontId="94" fillId="31" borderId="11" xfId="0" applyNumberFormat="1" applyFont="1" applyFill="1" applyBorder="1"/>
    <xf numFmtId="3" fontId="94" fillId="31" borderId="13" xfId="0" applyNumberFormat="1" applyFont="1" applyFill="1" applyBorder="1"/>
    <xf numFmtId="0" fontId="43" fillId="0" borderId="1" xfId="0" applyFont="1" applyBorder="1" applyAlignment="1">
      <alignment vertical="center" wrapText="1"/>
    </xf>
    <xf numFmtId="1" fontId="0" fillId="0" borderId="0" xfId="0" applyNumberFormat="1" applyAlignment="1" applyProtection="1">
      <alignment horizontal="center" vertical="center" shrinkToFit="1"/>
      <protection locked="0"/>
    </xf>
    <xf numFmtId="175" fontId="71" fillId="31" borderId="2" xfId="0" applyNumberFormat="1" applyFont="1" applyFill="1" applyBorder="1"/>
    <xf numFmtId="0" fontId="77" fillId="0" borderId="3" xfId="4" applyFont="1" applyBorder="1"/>
    <xf numFmtId="180" fontId="74" fillId="0" borderId="33" xfId="6" applyNumberFormat="1" applyFont="1" applyBorder="1"/>
    <xf numFmtId="180" fontId="74" fillId="0" borderId="60" xfId="6" applyNumberFormat="1" applyFont="1" applyBorder="1"/>
    <xf numFmtId="0" fontId="89" fillId="0" borderId="60" xfId="4" applyFont="1" applyBorder="1"/>
    <xf numFmtId="0" fontId="74" fillId="0" borderId="63" xfId="0" applyFont="1" applyBorder="1"/>
    <xf numFmtId="1" fontId="89" fillId="0" borderId="38" xfId="4" applyNumberFormat="1" applyFont="1" applyBorder="1"/>
    <xf numFmtId="1" fontId="89" fillId="0" borderId="3" xfId="4" applyNumberFormat="1" applyFont="1" applyBorder="1"/>
    <xf numFmtId="0" fontId="89" fillId="0" borderId="3" xfId="4" applyFont="1" applyBorder="1"/>
    <xf numFmtId="0" fontId="74" fillId="0" borderId="64" xfId="0" applyFont="1" applyBorder="1"/>
    <xf numFmtId="9" fontId="89" fillId="0" borderId="38" xfId="5" applyFont="1" applyBorder="1"/>
    <xf numFmtId="9" fontId="89" fillId="0" borderId="3" xfId="5" applyFont="1" applyBorder="1" applyAlignment="1"/>
    <xf numFmtId="3" fontId="89" fillId="0" borderId="42" xfId="4" applyNumberFormat="1" applyFont="1" applyBorder="1"/>
    <xf numFmtId="3" fontId="89" fillId="0" borderId="61" xfId="4" applyNumberFormat="1" applyFont="1" applyBorder="1"/>
    <xf numFmtId="0" fontId="89" fillId="0" borderId="61" xfId="4" applyFont="1" applyBorder="1"/>
    <xf numFmtId="0" fontId="74" fillId="0" borderId="65" xfId="0" applyFont="1" applyBorder="1"/>
    <xf numFmtId="170" fontId="0" fillId="0" borderId="0" xfId="0" applyNumberFormat="1" applyAlignment="1">
      <alignment vertical="center"/>
    </xf>
    <xf numFmtId="1" fontId="0" fillId="0" borderId="0" xfId="0" applyNumberFormat="1"/>
    <xf numFmtId="0" fontId="43" fillId="3" borderId="1" xfId="0" applyFont="1" applyFill="1" applyBorder="1" applyAlignment="1" applyProtection="1">
      <alignment horizontal="left" vertical="center" indent="1" shrinkToFit="1"/>
      <protection locked="0"/>
    </xf>
    <xf numFmtId="0" fontId="43" fillId="3" borderId="1" xfId="0" applyFont="1" applyFill="1" applyBorder="1" applyAlignment="1" applyProtection="1">
      <alignment horizontal="center" vertical="center" shrinkToFit="1"/>
      <protection locked="0"/>
    </xf>
    <xf numFmtId="0" fontId="116" fillId="3" borderId="1" xfId="0" applyFont="1" applyFill="1" applyBorder="1" applyAlignment="1" applyProtection="1">
      <alignment horizontal="left" vertical="center" indent="1" shrinkToFit="1"/>
      <protection locked="0"/>
    </xf>
    <xf numFmtId="0" fontId="116" fillId="3" borderId="1"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protection locked="0"/>
    </xf>
    <xf numFmtId="0" fontId="43" fillId="2" borderId="0" xfId="0" applyFont="1" applyFill="1" applyAlignment="1" applyProtection="1">
      <alignment horizontal="left" vertical="center" indent="1" shrinkToFit="1"/>
      <protection locked="0"/>
    </xf>
    <xf numFmtId="0" fontId="43" fillId="2" borderId="0" xfId="0" applyFont="1" applyFill="1" applyAlignment="1" applyProtection="1">
      <alignment horizontal="center" vertical="center" shrinkToFit="1"/>
      <protection locked="0"/>
    </xf>
    <xf numFmtId="0" fontId="43" fillId="2" borderId="2" xfId="0" applyFont="1" applyFill="1" applyBorder="1" applyAlignment="1" applyProtection="1">
      <alignment horizontal="center" vertical="center"/>
      <protection locked="0"/>
    </xf>
    <xf numFmtId="0" fontId="43" fillId="2" borderId="3" xfId="0" applyFont="1" applyFill="1" applyBorder="1" applyAlignment="1" applyProtection="1">
      <alignment horizontal="left" vertical="center" indent="1" shrinkToFit="1"/>
      <protection locked="0"/>
    </xf>
    <xf numFmtId="0" fontId="43" fillId="2" borderId="3" xfId="0" applyFont="1" applyFill="1" applyBorder="1" applyAlignment="1" applyProtection="1">
      <alignment horizontal="center" vertical="center" shrinkToFit="1"/>
      <protection locked="0"/>
    </xf>
    <xf numFmtId="0" fontId="43" fillId="4" borderId="1" xfId="0" applyFont="1" applyFill="1" applyBorder="1" applyAlignment="1" applyProtection="1">
      <alignment horizontal="center" vertical="center" shrinkToFit="1"/>
      <protection locked="0"/>
    </xf>
    <xf numFmtId="0" fontId="43" fillId="0" borderId="0" xfId="0" applyFont="1" applyAlignment="1" applyProtection="1">
      <alignment horizontal="center" vertical="center"/>
      <protection locked="0"/>
    </xf>
    <xf numFmtId="0" fontId="43" fillId="0" borderId="0" xfId="0" applyFont="1" applyAlignment="1" applyProtection="1">
      <alignment horizontal="left" vertical="center" indent="1" shrinkToFit="1"/>
      <protection locked="0"/>
    </xf>
    <xf numFmtId="0" fontId="43" fillId="0" borderId="0" xfId="0" applyFont="1" applyAlignment="1" applyProtection="1">
      <alignment horizontal="center" vertical="center" shrinkToFit="1"/>
      <protection locked="0"/>
    </xf>
    <xf numFmtId="0" fontId="62" fillId="0" borderId="0" xfId="0" applyFont="1" applyAlignment="1" applyProtection="1">
      <alignment horizontal="left" vertical="center" indent="1"/>
      <protection locked="0"/>
    </xf>
    <xf numFmtId="168" fontId="43" fillId="3" borderId="1" xfId="0" applyNumberFormat="1" applyFont="1" applyFill="1" applyBorder="1" applyAlignment="1" applyProtection="1">
      <alignment horizontal="center" vertical="center" shrinkToFit="1"/>
      <protection locked="0"/>
    </xf>
    <xf numFmtId="0" fontId="116" fillId="4" borderId="1" xfId="0" applyFont="1" applyFill="1" applyBorder="1" applyAlignment="1" applyProtection="1">
      <alignment horizontal="center" vertical="center" shrinkToFit="1"/>
      <protection locked="0"/>
    </xf>
    <xf numFmtId="0" fontId="117" fillId="4" borderId="1" xfId="0" applyFont="1" applyFill="1" applyBorder="1" applyAlignment="1" applyProtection="1">
      <alignment horizontal="center" vertical="center" shrinkToFit="1"/>
      <protection locked="0"/>
    </xf>
    <xf numFmtId="3" fontId="100" fillId="0" borderId="1" xfId="0" applyNumberFormat="1" applyFont="1" applyBorder="1"/>
    <xf numFmtId="9" fontId="102" fillId="0" borderId="1" xfId="11" applyFont="1" applyFill="1" applyBorder="1"/>
    <xf numFmtId="9" fontId="103" fillId="0" borderId="1" xfId="11" applyFont="1" applyFill="1" applyBorder="1"/>
    <xf numFmtId="9" fontId="104" fillId="0" borderId="1" xfId="11" applyFont="1" applyFill="1" applyBorder="1"/>
    <xf numFmtId="9" fontId="0" fillId="0" borderId="1" xfId="11" applyFont="1" applyFill="1" applyBorder="1"/>
    <xf numFmtId="3" fontId="68" fillId="0" borderId="1" xfId="0" applyNumberFormat="1" applyFont="1" applyBorder="1"/>
    <xf numFmtId="9" fontId="100" fillId="0" borderId="1" xfId="14" applyFont="1" applyFill="1" applyBorder="1"/>
    <xf numFmtId="9" fontId="102" fillId="0" borderId="1" xfId="14" applyFont="1" applyFill="1" applyBorder="1"/>
    <xf numFmtId="9" fontId="105" fillId="0" borderId="1" xfId="14" applyFont="1" applyFill="1" applyBorder="1"/>
    <xf numFmtId="9" fontId="104" fillId="0" borderId="1" xfId="14" applyFont="1" applyFill="1" applyBorder="1"/>
    <xf numFmtId="9" fontId="0" fillId="0" borderId="1" xfId="14" applyFont="1" applyFill="1" applyBorder="1"/>
    <xf numFmtId="9" fontId="103" fillId="0" borderId="1" xfId="14" applyFont="1" applyFill="1" applyBorder="1"/>
    <xf numFmtId="9" fontId="106" fillId="0" borderId="1" xfId="14" applyFont="1" applyFill="1" applyBorder="1"/>
    <xf numFmtId="1" fontId="0" fillId="3" borderId="1" xfId="0" applyNumberFormat="1" applyFill="1" applyBorder="1"/>
    <xf numFmtId="174" fontId="74" fillId="0" borderId="0" xfId="0" applyNumberFormat="1" applyFont="1"/>
    <xf numFmtId="0" fontId="71" fillId="0" borderId="1" xfId="0" applyFont="1" applyBorder="1" applyAlignment="1">
      <alignment horizontal="left" wrapText="1"/>
    </xf>
    <xf numFmtId="168" fontId="71" fillId="0" borderId="1" xfId="8" applyNumberFormat="1" applyFont="1" applyBorder="1"/>
    <xf numFmtId="168" fontId="94" fillId="0" borderId="1" xfId="14" applyNumberFormat="1" applyFont="1" applyBorder="1"/>
    <xf numFmtId="4" fontId="74" fillId="0" borderId="1" xfId="7" applyNumberFormat="1" applyFont="1" applyBorder="1"/>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47" fillId="0" borderId="1" xfId="0"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7"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1"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70"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67" fillId="0" borderId="2" xfId="0" applyFont="1" applyBorder="1" applyAlignment="1">
      <alignment horizontal="left" vertical="center" wrapText="1" indent="1"/>
    </xf>
    <xf numFmtId="0" fontId="67" fillId="0" borderId="4" xfId="0" applyFont="1" applyBorder="1" applyAlignment="1">
      <alignment horizontal="left" vertical="center" wrapText="1" indent="1"/>
    </xf>
    <xf numFmtId="0" fontId="0" fillId="9" borderId="1" xfId="0" applyFill="1" applyBorder="1" applyAlignment="1">
      <alignment horizontal="center" vertical="center"/>
    </xf>
    <xf numFmtId="0" fontId="6"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31" fillId="0" borderId="2" xfId="0" applyFont="1" applyBorder="1" applyAlignment="1">
      <alignment horizontal="left" vertical="center" indent="1"/>
    </xf>
    <xf numFmtId="0" fontId="31" fillId="0" borderId="4" xfId="0" applyFont="1" applyBorder="1" applyAlignment="1">
      <alignment horizontal="left" vertical="center" indent="1"/>
    </xf>
    <xf numFmtId="0" fontId="31" fillId="0" borderId="2" xfId="0" applyFont="1" applyBorder="1" applyAlignment="1">
      <alignment horizontal="left" vertical="center" wrapText="1" indent="1"/>
    </xf>
    <xf numFmtId="0" fontId="31" fillId="0" borderId="4" xfId="0" applyFont="1" applyBorder="1" applyAlignment="1">
      <alignment horizontal="left" vertical="center" wrapText="1" indent="1"/>
    </xf>
    <xf numFmtId="0" fontId="31" fillId="0" borderId="1" xfId="0" applyFont="1" applyBorder="1" applyAlignment="1">
      <alignment horizontal="left" vertical="center" wrapText="1" indent="1"/>
    </xf>
    <xf numFmtId="0" fontId="3" fillId="10" borderId="1" xfId="0" applyFont="1" applyFill="1" applyBorder="1" applyAlignment="1">
      <alignment horizontal="left" vertical="center" indent="1"/>
    </xf>
    <xf numFmtId="0" fontId="46" fillId="0" borderId="1" xfId="0" applyFont="1" applyBorder="1" applyAlignment="1">
      <alignment horizontal="right" vertical="center" wrapText="1" indent="1"/>
    </xf>
    <xf numFmtId="0" fontId="33" fillId="0" borderId="10" xfId="0" applyFont="1" applyBorder="1" applyAlignment="1">
      <alignment horizontal="left" vertical="center" inden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2" fillId="4" borderId="2" xfId="0" applyFont="1" applyFill="1" applyBorder="1" applyAlignment="1" applyProtection="1">
      <alignment horizontal="center" vertical="center"/>
      <protection locked="0"/>
    </xf>
    <xf numFmtId="0" fontId="62" fillId="4" borderId="4" xfId="0" applyFont="1" applyFill="1" applyBorder="1" applyAlignment="1" applyProtection="1">
      <alignment horizontal="center" vertical="center"/>
      <protection locked="0"/>
    </xf>
    <xf numFmtId="0" fontId="43" fillId="0" borderId="1" xfId="0" applyFont="1" applyBorder="1" applyAlignment="1" applyProtection="1">
      <alignment horizontal="left" vertical="center" indent="1"/>
      <protection locked="0"/>
    </xf>
    <xf numFmtId="0" fontId="116" fillId="4" borderId="2" xfId="0" applyFont="1" applyFill="1" applyBorder="1" applyAlignment="1" applyProtection="1">
      <alignment horizontal="left" vertical="center" indent="1"/>
      <protection locked="0"/>
    </xf>
    <xf numFmtId="0" fontId="116" fillId="4" borderId="4" xfId="0" applyFont="1" applyFill="1" applyBorder="1" applyAlignment="1" applyProtection="1">
      <alignment horizontal="left" vertical="center" indent="1"/>
      <protection locked="0"/>
    </xf>
    <xf numFmtId="0" fontId="62" fillId="4" borderId="2" xfId="0" applyFont="1" applyFill="1" applyBorder="1" applyAlignment="1" applyProtection="1">
      <alignment horizontal="center" vertical="center" shrinkToFit="1"/>
      <protection locked="0"/>
    </xf>
    <xf numFmtId="0" fontId="62" fillId="4" borderId="4" xfId="0" applyFont="1" applyFill="1" applyBorder="1" applyAlignment="1" applyProtection="1">
      <alignment horizontal="center" vertical="center" shrinkToFit="1"/>
      <protection locked="0"/>
    </xf>
    <xf numFmtId="0" fontId="116" fillId="0" borderId="1" xfId="0" applyFont="1" applyBorder="1" applyAlignment="1" applyProtection="1">
      <alignment horizontal="left" vertical="center" wrapText="1" indent="1"/>
      <protection locked="0"/>
    </xf>
    <xf numFmtId="0" fontId="116" fillId="0" borderId="7" xfId="0" applyFont="1" applyBorder="1" applyAlignment="1" applyProtection="1">
      <alignment horizontal="left" vertical="center" wrapText="1" indent="1"/>
      <protection locked="0"/>
    </xf>
    <xf numFmtId="0" fontId="116" fillId="0" borderId="8" xfId="0" applyFont="1" applyBorder="1" applyAlignment="1" applyProtection="1">
      <alignment horizontal="left" vertical="center" wrapText="1" indent="1"/>
      <protection locked="0"/>
    </xf>
    <xf numFmtId="0" fontId="116" fillId="0" borderId="9" xfId="0" applyFont="1" applyBorder="1" applyAlignment="1" applyProtection="1">
      <alignment horizontal="left" vertical="center" wrapText="1" indent="1"/>
      <protection locked="0"/>
    </xf>
    <xf numFmtId="0" fontId="116" fillId="0" borderId="2" xfId="0" applyFont="1" applyBorder="1" applyAlignment="1" applyProtection="1">
      <alignment horizontal="left" vertical="center" wrapText="1" indent="1"/>
      <protection locked="0"/>
    </xf>
    <xf numFmtId="0" fontId="43" fillId="0" borderId="4" xfId="0" applyFont="1" applyBorder="1" applyAlignment="1" applyProtection="1">
      <alignment horizontal="left" vertical="center" wrapText="1" indent="1"/>
      <protection locked="0"/>
    </xf>
    <xf numFmtId="0" fontId="16" fillId="0" borderId="1" xfId="0" applyFont="1" applyBorder="1" applyAlignment="1" applyProtection="1">
      <alignment horizontal="left" vertical="center" indent="1"/>
      <protection locked="0"/>
    </xf>
    <xf numFmtId="0" fontId="3" fillId="6" borderId="2" xfId="0" applyFont="1" applyFill="1" applyBorder="1" applyAlignment="1" applyProtection="1">
      <alignment horizontal="left" vertical="center" indent="1"/>
      <protection locked="0"/>
    </xf>
    <xf numFmtId="0" fontId="3" fillId="6" borderId="4" xfId="0" applyFont="1" applyFill="1" applyBorder="1" applyAlignment="1" applyProtection="1">
      <alignment horizontal="left" vertical="center" indent="1"/>
      <protection locked="0"/>
    </xf>
    <xf numFmtId="0" fontId="6" fillId="6" borderId="2"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20" fillId="0" borderId="2" xfId="0" applyFont="1" applyBorder="1" applyAlignment="1" applyProtection="1">
      <alignment horizontal="left" vertical="center" wrapText="1" indent="1"/>
      <protection locked="0"/>
    </xf>
    <xf numFmtId="0" fontId="16" fillId="0" borderId="4"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0" fontId="20" fillId="0" borderId="1" xfId="0" applyFont="1" applyBorder="1" applyAlignment="1" applyProtection="1">
      <alignment horizontal="left" vertical="center" wrapText="1" indent="1"/>
      <protection locked="0"/>
    </xf>
    <xf numFmtId="0" fontId="20" fillId="0" borderId="7"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23" fillId="0" borderId="1" xfId="0" applyFont="1" applyBorder="1" applyAlignment="1">
      <alignment horizontal="left" vertical="center" indent="1"/>
    </xf>
    <xf numFmtId="0" fontId="3" fillId="7" borderId="2" xfId="0" applyFont="1" applyFill="1" applyBorder="1" applyAlignment="1">
      <alignment horizontal="left" vertical="center" indent="1"/>
    </xf>
    <xf numFmtId="0" fontId="3" fillId="7" borderId="4" xfId="0" applyFont="1" applyFill="1" applyBorder="1" applyAlignment="1">
      <alignment horizontal="left" vertical="center" inden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6" fillId="0" borderId="2" xfId="0" applyFont="1" applyBorder="1" applyAlignment="1">
      <alignment horizontal="left" vertical="center" wrapText="1" indent="1"/>
    </xf>
    <xf numFmtId="0" fontId="23" fillId="0" borderId="4" xfId="0" applyFont="1" applyBorder="1" applyAlignment="1">
      <alignment horizontal="left" vertical="center" wrapText="1" indent="1"/>
    </xf>
    <xf numFmtId="0" fontId="6" fillId="7" borderId="2"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26" fillId="0" borderId="1"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26" fillId="0" borderId="9" xfId="0" applyFont="1" applyBorder="1" applyAlignment="1">
      <alignment horizontal="left" vertical="center" wrapText="1" indent="1"/>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7" fillId="22" borderId="2" xfId="0" applyNumberFormat="1" applyFont="1" applyFill="1" applyBorder="1" applyAlignment="1">
      <alignment horizontal="center" vertical="center"/>
    </xf>
    <xf numFmtId="167" fontId="7" fillId="22" borderId="3" xfId="0" applyNumberFormat="1" applyFont="1" applyFill="1" applyBorder="1" applyAlignment="1">
      <alignment horizontal="center" vertical="center"/>
    </xf>
    <xf numFmtId="167" fontId="7" fillId="22" borderId="4" xfId="0" applyNumberFormat="1" applyFont="1" applyFill="1" applyBorder="1" applyAlignment="1">
      <alignment horizontal="center" vertical="center"/>
    </xf>
    <xf numFmtId="0" fontId="63" fillId="22" borderId="2" xfId="0" applyFont="1" applyFill="1" applyBorder="1" applyAlignment="1">
      <alignment horizontal="center" vertical="center"/>
    </xf>
    <xf numFmtId="0" fontId="63" fillId="22" borderId="3" xfId="0" applyFont="1" applyFill="1" applyBorder="1" applyAlignment="1">
      <alignment horizontal="center" vertical="center"/>
    </xf>
    <xf numFmtId="0" fontId="63"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0" fillId="0" borderId="0" xfId="0" applyAlignment="1">
      <alignment horizontal="left" vertical="center" wrapText="1" indent="1"/>
    </xf>
    <xf numFmtId="0" fontId="72" fillId="27" borderId="7" xfId="0" applyFont="1" applyFill="1" applyBorder="1" applyAlignment="1">
      <alignment horizontal="center" vertical="top" wrapText="1"/>
    </xf>
    <xf numFmtId="0" fontId="72" fillId="27" borderId="9" xfId="0" applyFont="1" applyFill="1" applyBorder="1" applyAlignment="1">
      <alignment horizontal="center" vertical="top" wrapText="1"/>
    </xf>
    <xf numFmtId="9" fontId="72" fillId="27" borderId="7" xfId="0" applyNumberFormat="1" applyFont="1" applyFill="1" applyBorder="1" applyAlignment="1">
      <alignment horizontal="center" vertical="top" wrapText="1"/>
    </xf>
    <xf numFmtId="9" fontId="72" fillId="27" borderId="9" xfId="0" applyNumberFormat="1" applyFont="1" applyFill="1" applyBorder="1" applyAlignment="1">
      <alignment horizontal="center" vertical="top" wrapText="1"/>
    </xf>
    <xf numFmtId="0" fontId="114" fillId="0" borderId="0" xfId="13" applyFont="1" applyAlignment="1">
      <alignment horizontal="left" wrapText="1"/>
    </xf>
    <xf numFmtId="0" fontId="89" fillId="0" borderId="38" xfId="4" applyFont="1" applyBorder="1" applyAlignment="1">
      <alignment horizontal="left" wrapText="1" indent="2"/>
    </xf>
    <xf numFmtId="0" fontId="89" fillId="0" borderId="3" xfId="4" applyFont="1" applyBorder="1" applyAlignment="1">
      <alignment horizontal="left" wrapText="1" indent="2"/>
    </xf>
    <xf numFmtId="0" fontId="97" fillId="0" borderId="26" xfId="6" applyFont="1" applyBorder="1" applyAlignment="1">
      <alignment horizontal="center" vertical="top"/>
    </xf>
    <xf numFmtId="0" fontId="97" fillId="0" borderId="27" xfId="6" applyFont="1" applyBorder="1" applyAlignment="1">
      <alignment horizontal="center" vertical="top"/>
    </xf>
    <xf numFmtId="0" fontId="97" fillId="0" borderId="30" xfId="6" applyFont="1" applyBorder="1" applyAlignment="1">
      <alignment horizontal="center" vertical="top"/>
    </xf>
    <xf numFmtId="0" fontId="97" fillId="0" borderId="31" xfId="6" applyFont="1" applyBorder="1" applyAlignment="1">
      <alignment horizontal="center" vertical="top"/>
    </xf>
    <xf numFmtId="0" fontId="89" fillId="0" borderId="33" xfId="4" applyFont="1" applyBorder="1" applyAlignment="1">
      <alignment horizontal="left" wrapText="1" indent="2"/>
    </xf>
    <xf numFmtId="0" fontId="89" fillId="0" borderId="60" xfId="4" applyFont="1" applyBorder="1" applyAlignment="1">
      <alignment horizontal="left" wrapText="1" indent="2"/>
    </xf>
    <xf numFmtId="0" fontId="97" fillId="27" borderId="57" xfId="6" applyFont="1" applyFill="1" applyBorder="1" applyAlignment="1">
      <alignment horizontal="center" vertical="top"/>
    </xf>
    <xf numFmtId="0" fontId="97" fillId="27" borderId="58" xfId="6" applyFont="1" applyFill="1" applyBorder="1" applyAlignment="1">
      <alignment horizontal="center" vertical="top"/>
    </xf>
    <xf numFmtId="0" fontId="97" fillId="27" borderId="59" xfId="6" applyFont="1" applyFill="1" applyBorder="1" applyAlignment="1">
      <alignment horizontal="center" vertical="top"/>
    </xf>
    <xf numFmtId="0" fontId="97" fillId="27" borderId="6" xfId="6" applyFont="1" applyFill="1" applyBorder="1" applyAlignment="1">
      <alignment horizontal="center" vertical="top"/>
    </xf>
    <xf numFmtId="0" fontId="97" fillId="27" borderId="0" xfId="6" applyFont="1" applyFill="1" applyAlignment="1">
      <alignment horizontal="center" vertical="top"/>
    </xf>
    <xf numFmtId="0" fontId="97" fillId="27" borderId="62" xfId="6" applyFont="1" applyFill="1" applyBorder="1" applyAlignment="1">
      <alignment horizontal="center" vertical="top"/>
    </xf>
    <xf numFmtId="0" fontId="89" fillId="0" borderId="42" xfId="4" applyFont="1" applyBorder="1" applyAlignment="1">
      <alignment horizontal="left" wrapText="1" indent="2"/>
    </xf>
    <xf numFmtId="0" fontId="89" fillId="0" borderId="61" xfId="4" applyFont="1" applyBorder="1" applyAlignment="1">
      <alignment horizontal="left" wrapText="1" indent="2"/>
    </xf>
    <xf numFmtId="0" fontId="72" fillId="0" borderId="1" xfId="0" applyFont="1" applyBorder="1" applyAlignment="1">
      <alignment horizontal="center" wrapText="1"/>
    </xf>
    <xf numFmtId="0" fontId="89" fillId="0" borderId="2" xfId="0" applyFont="1" applyBorder="1" applyAlignment="1">
      <alignment horizontal="center" vertical="center" wrapText="1"/>
    </xf>
    <xf numFmtId="0" fontId="89" fillId="0" borderId="4" xfId="0" applyFont="1" applyBorder="1" applyAlignment="1">
      <alignment horizontal="center" vertical="center" wrapText="1"/>
    </xf>
    <xf numFmtId="0" fontId="89" fillId="0" borderId="1" xfId="0" applyFont="1" applyBorder="1" applyAlignment="1">
      <alignment horizontal="left" vertical="center" wrapText="1"/>
    </xf>
    <xf numFmtId="1" fontId="89" fillId="0" borderId="2" xfId="0" applyNumberFormat="1" applyFont="1" applyBorder="1" applyAlignment="1">
      <alignment horizontal="center" vertical="center" wrapText="1"/>
    </xf>
    <xf numFmtId="1" fontId="89" fillId="0" borderId="4" xfId="0" applyNumberFormat="1" applyFont="1" applyBorder="1" applyAlignment="1">
      <alignment horizontal="center" vertical="center" wrapText="1"/>
    </xf>
    <xf numFmtId="3" fontId="89" fillId="0" borderId="2" xfId="0" applyNumberFormat="1" applyFont="1" applyBorder="1" applyAlignment="1">
      <alignment horizontal="center" vertical="center" wrapText="1"/>
    </xf>
    <xf numFmtId="3" fontId="89" fillId="0" borderId="4" xfId="0" applyNumberFormat="1" applyFont="1" applyBorder="1" applyAlignment="1">
      <alignment horizontal="center" vertical="center" wrapText="1"/>
    </xf>
    <xf numFmtId="0" fontId="89" fillId="0" borderId="1" xfId="0" applyFont="1" applyBorder="1" applyAlignment="1">
      <alignment horizontal="left" vertical="center" wrapText="1" indent="2"/>
    </xf>
    <xf numFmtId="2" fontId="89" fillId="0" borderId="2" xfId="0" applyNumberFormat="1" applyFont="1" applyBorder="1" applyAlignment="1">
      <alignment horizontal="center" vertical="center" wrapText="1"/>
    </xf>
    <xf numFmtId="2" fontId="89" fillId="0" borderId="4" xfId="0" applyNumberFormat="1" applyFont="1" applyBorder="1" applyAlignment="1">
      <alignment horizontal="center" vertical="center" wrapText="1"/>
    </xf>
    <xf numFmtId="0" fontId="77" fillId="0" borderId="0" xfId="0" applyFont="1" applyAlignment="1" applyProtection="1">
      <alignment horizontal="left" vertical="center" wrapText="1" indent="1"/>
      <protection locked="0"/>
    </xf>
    <xf numFmtId="0" fontId="77" fillId="28" borderId="11" xfId="4" applyFont="1" applyFill="1" applyBorder="1" applyAlignment="1">
      <alignment horizontal="center"/>
    </xf>
    <xf numFmtId="0" fontId="77" fillId="28" borderId="13" xfId="4" applyFont="1" applyFill="1" applyBorder="1" applyAlignment="1">
      <alignment horizontal="center"/>
    </xf>
    <xf numFmtId="0" fontId="77" fillId="28" borderId="16" xfId="4" applyFont="1" applyFill="1" applyBorder="1" applyAlignment="1">
      <alignment horizontal="center"/>
    </xf>
    <xf numFmtId="0" fontId="77" fillId="28" borderId="17" xfId="4" applyFont="1" applyFill="1" applyBorder="1" applyAlignment="1">
      <alignment horizontal="center"/>
    </xf>
    <xf numFmtId="0" fontId="76" fillId="0" borderId="1" xfId="4" applyFont="1" applyBorder="1" applyAlignment="1">
      <alignment horizontal="center" vertical="center"/>
    </xf>
    <xf numFmtId="0" fontId="77" fillId="0" borderId="2" xfId="4" applyFont="1" applyBorder="1" applyAlignment="1">
      <alignment horizontal="center"/>
    </xf>
    <xf numFmtId="0" fontId="77" fillId="0" borderId="3" xfId="4" applyFont="1" applyBorder="1" applyAlignment="1">
      <alignment horizontal="center"/>
    </xf>
    <xf numFmtId="0" fontId="86" fillId="0" borderId="1" xfId="4" applyFont="1" applyBorder="1" applyAlignment="1">
      <alignment horizontal="center"/>
    </xf>
    <xf numFmtId="0" fontId="72" fillId="27" borderId="2" xfId="6" applyFont="1" applyFill="1" applyBorder="1" applyAlignment="1">
      <alignment horizontal="center"/>
    </xf>
    <xf numFmtId="0" fontId="72" fillId="27" borderId="4" xfId="6" applyFont="1" applyFill="1" applyBorder="1" applyAlignment="1">
      <alignment horizontal="center"/>
    </xf>
    <xf numFmtId="0" fontId="89" fillId="27" borderId="26" xfId="6" applyFont="1" applyFill="1" applyBorder="1" applyAlignment="1">
      <alignment horizontal="center" vertical="top"/>
    </xf>
    <xf numFmtId="0" fontId="89" fillId="27" borderId="27" xfId="6" applyFont="1" applyFill="1" applyBorder="1" applyAlignment="1">
      <alignment horizontal="center" vertical="top"/>
    </xf>
    <xf numFmtId="0" fontId="89" fillId="27" borderId="30" xfId="6" applyFont="1" applyFill="1" applyBorder="1" applyAlignment="1">
      <alignment horizontal="center" vertical="top"/>
    </xf>
    <xf numFmtId="0" fontId="89" fillId="27" borderId="31" xfId="6" applyFont="1" applyFill="1" applyBorder="1" applyAlignment="1">
      <alignment horizontal="center" vertical="top"/>
    </xf>
    <xf numFmtId="0" fontId="89" fillId="27" borderId="28" xfId="6" applyFont="1" applyFill="1" applyBorder="1" applyAlignment="1">
      <alignment horizontal="center"/>
    </xf>
    <xf numFmtId="0" fontId="89" fillId="27" borderId="29" xfId="6" applyFont="1" applyFill="1" applyBorder="1" applyAlignment="1">
      <alignment horizontal="center"/>
    </xf>
    <xf numFmtId="0" fontId="89" fillId="27" borderId="28" xfId="4" applyFont="1" applyFill="1" applyBorder="1" applyAlignment="1">
      <alignment horizontal="center" vertical="top" wrapText="1"/>
    </xf>
    <xf numFmtId="0" fontId="89" fillId="27" borderId="32" xfId="4" applyFont="1" applyFill="1" applyBorder="1" applyAlignment="1">
      <alignment horizontal="center" vertical="top" wrapText="1"/>
    </xf>
    <xf numFmtId="0" fontId="89" fillId="27" borderId="29" xfId="4" applyFont="1" applyFill="1" applyBorder="1" applyAlignment="1">
      <alignment horizontal="center" vertical="top" wrapText="1"/>
    </xf>
    <xf numFmtId="0" fontId="89" fillId="26" borderId="0" xfId="4" applyFont="1" applyFill="1" applyAlignment="1">
      <alignment horizontal="center"/>
    </xf>
    <xf numFmtId="0" fontId="83" fillId="0" borderId="0" xfId="6" applyFont="1" applyAlignment="1">
      <alignment horizontal="center"/>
    </xf>
    <xf numFmtId="0" fontId="89" fillId="3" borderId="33" xfId="4" applyFont="1" applyFill="1" applyBorder="1" applyAlignment="1">
      <alignment horizontal="left" wrapText="1" indent="2"/>
    </xf>
    <xf numFmtId="0" fontId="89" fillId="3" borderId="34" xfId="4" applyFont="1" applyFill="1" applyBorder="1" applyAlignment="1">
      <alignment horizontal="left" wrapText="1" indent="2"/>
    </xf>
    <xf numFmtId="0" fontId="89" fillId="3" borderId="38" xfId="4" applyFont="1" applyFill="1" applyBorder="1" applyAlignment="1">
      <alignment horizontal="left" wrapText="1" indent="2"/>
    </xf>
    <xf numFmtId="0" fontId="89" fillId="3" borderId="4" xfId="4" applyFont="1" applyFill="1" applyBorder="1" applyAlignment="1">
      <alignment horizontal="left" wrapText="1" indent="2"/>
    </xf>
    <xf numFmtId="0" fontId="89" fillId="3" borderId="42" xfId="4" applyFont="1" applyFill="1" applyBorder="1" applyAlignment="1">
      <alignment horizontal="left" wrapText="1" indent="2"/>
    </xf>
    <xf numFmtId="0" fontId="89" fillId="3" borderId="43" xfId="4" applyFont="1" applyFill="1" applyBorder="1" applyAlignment="1">
      <alignment horizontal="left" wrapText="1" indent="2"/>
    </xf>
    <xf numFmtId="0" fontId="83" fillId="0" borderId="32" xfId="6" applyFont="1" applyBorder="1" applyAlignment="1">
      <alignment horizontal="center"/>
    </xf>
    <xf numFmtId="0" fontId="83" fillId="0" borderId="29" xfId="6" applyFont="1" applyBorder="1" applyAlignment="1">
      <alignment horizontal="center"/>
    </xf>
    <xf numFmtId="0" fontId="118" fillId="0" borderId="2" xfId="0" applyFont="1" applyBorder="1" applyAlignment="1">
      <alignment horizontal="left" vertical="center" wrapText="1" indent="1"/>
    </xf>
    <xf numFmtId="0" fontId="0" fillId="13" borderId="1" xfId="0" applyFill="1" applyBorder="1" applyAlignment="1">
      <alignment horizontal="right" vertical="center" wrapText="1" indent="1"/>
    </xf>
    <xf numFmtId="0" fontId="43" fillId="13" borderId="1" xfId="0" applyFont="1" applyFill="1" applyBorder="1" applyAlignment="1">
      <alignment horizontal="right" vertical="center" wrapText="1" indent="1"/>
    </xf>
  </cellXfs>
  <cellStyles count="15">
    <cellStyle name="Hüperlink" xfId="2" builtinId="8"/>
    <cellStyle name="Normaallaad" xfId="0" builtinId="0"/>
    <cellStyle name="Protsent" xfId="1" builtinId="5"/>
    <cellStyle name="Обычный 2" xfId="4"/>
    <cellStyle name="Обычный 3" xfId="3"/>
    <cellStyle name="Обычный 4" xfId="13"/>
    <cellStyle name="Обычный 5" xfId="12"/>
    <cellStyle name="Обычный 6 2" xfId="6"/>
    <cellStyle name="Обычный 7" xfId="7"/>
    <cellStyle name="Обычный 8" xfId="9"/>
    <cellStyle name="Процентный 2" xfId="5"/>
    <cellStyle name="Процентный 3" xfId="11"/>
    <cellStyle name="Процентный 4" xfId="14"/>
    <cellStyle name="Процентный 5" xfId="8"/>
    <cellStyle name="Процентный 6" xfId="10"/>
  </cellStyles>
  <dxfs count="2">
    <dxf>
      <font>
        <color theme="0"/>
      </font>
    </dxf>
    <dxf>
      <font>
        <color theme="0"/>
      </font>
    </dxf>
  </dxfs>
  <tableStyles count="0" defaultTableStyle="TableStyleMedium2" defaultPivotStyle="PivotStyleLight16"/>
  <colors>
    <mruColors>
      <color rgb="FFFFFF66"/>
      <color rgb="FF0000FF"/>
      <color rgb="FFA6C0F4"/>
      <color rgb="FF000099"/>
      <color rgb="FF008000"/>
      <color rgb="FFCC6600"/>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FC8F-4FBB-820B-F0D136EDA419}"/>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FC8F-4FBB-820B-F0D136EDA419}"/>
            </c:ext>
          </c:extLst>
        </c:ser>
        <c:dLbls>
          <c:showLegendKey val="0"/>
          <c:showVal val="0"/>
          <c:showCatName val="0"/>
          <c:showSerName val="0"/>
          <c:showPercent val="0"/>
          <c:showBubbleSize val="0"/>
        </c:dLbls>
        <c:gapWidth val="150"/>
        <c:overlap val="50"/>
        <c:axId val="361933120"/>
        <c:axId val="361929200"/>
      </c:barChart>
      <c:catAx>
        <c:axId val="361933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29200"/>
        <c:crosses val="autoZero"/>
        <c:auto val="1"/>
        <c:lblAlgn val="ctr"/>
        <c:lblOffset val="100"/>
        <c:tickLblSkip val="1"/>
        <c:tickMarkSkip val="1"/>
        <c:noMultiLvlLbl val="0"/>
      </c:catAx>
      <c:valAx>
        <c:axId val="3619292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3312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29E5-4AC7-A03A-C87C97FA6344}"/>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29E5-4AC7-A03A-C87C97FA6344}"/>
            </c:ext>
          </c:extLst>
        </c:ser>
        <c:dLbls>
          <c:showLegendKey val="0"/>
          <c:showVal val="0"/>
          <c:showCatName val="0"/>
          <c:showSerName val="0"/>
          <c:showPercent val="0"/>
          <c:showBubbleSize val="0"/>
        </c:dLbls>
        <c:gapWidth val="150"/>
        <c:overlap val="50"/>
        <c:axId val="426081400"/>
        <c:axId val="426078656"/>
      </c:barChart>
      <c:catAx>
        <c:axId val="426081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78656"/>
        <c:crosses val="autoZero"/>
        <c:auto val="1"/>
        <c:lblAlgn val="ctr"/>
        <c:lblOffset val="100"/>
        <c:tickLblSkip val="1"/>
        <c:tickMarkSkip val="1"/>
        <c:noMultiLvlLbl val="0"/>
      </c:catAx>
      <c:valAx>
        <c:axId val="4260786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8140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xmlns:c16r2="http://schemas.microsoft.com/office/drawing/2015/06/chart">
            <c:ext xmlns:c16="http://schemas.microsoft.com/office/drawing/2014/chart" uri="{C3380CC4-5D6E-409C-BE32-E72D297353CC}">
              <c16:uniqueId val="{00000000-5138-420E-BF4C-82752F12A94B}"/>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xmlns:c16r2="http://schemas.microsoft.com/office/drawing/2015/06/chart">
            <c:ext xmlns:c16="http://schemas.microsoft.com/office/drawing/2014/chart" uri="{C3380CC4-5D6E-409C-BE32-E72D297353CC}">
              <c16:uniqueId val="{00000001-5138-420E-BF4C-82752F12A94B}"/>
            </c:ext>
          </c:extLst>
        </c:ser>
        <c:dLbls>
          <c:showLegendKey val="0"/>
          <c:showVal val="0"/>
          <c:showCatName val="0"/>
          <c:showSerName val="0"/>
          <c:showPercent val="0"/>
          <c:showBubbleSize val="0"/>
        </c:dLbls>
        <c:marker val="1"/>
        <c:smooth val="0"/>
        <c:axId val="426081792"/>
        <c:axId val="426082184"/>
      </c:lineChart>
      <c:catAx>
        <c:axId val="426081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82184"/>
        <c:crosses val="autoZero"/>
        <c:auto val="1"/>
        <c:lblAlgn val="ctr"/>
        <c:lblOffset val="100"/>
        <c:tickLblSkip val="1"/>
        <c:tickMarkSkip val="1"/>
        <c:noMultiLvlLbl val="0"/>
      </c:catAx>
      <c:valAx>
        <c:axId val="4260821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8179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xmlns:c16r2="http://schemas.microsoft.com/office/drawing/2015/06/chart">
            <c:ext xmlns:c16="http://schemas.microsoft.com/office/drawing/2014/chart" uri="{C3380CC4-5D6E-409C-BE32-E72D297353CC}">
              <c16:uniqueId val="{00000000-4FE7-4AD4-9BA1-3472C00C31DE}"/>
            </c:ext>
          </c:extLst>
        </c:ser>
        <c:dLbls>
          <c:showLegendKey val="0"/>
          <c:showVal val="0"/>
          <c:showCatName val="0"/>
          <c:showSerName val="0"/>
          <c:showPercent val="0"/>
          <c:showBubbleSize val="0"/>
        </c:dLbls>
        <c:gapWidth val="150"/>
        <c:axId val="426082968"/>
        <c:axId val="426079440"/>
      </c:barChart>
      <c:catAx>
        <c:axId val="426082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26079440"/>
        <c:crosses val="autoZero"/>
        <c:auto val="1"/>
        <c:lblAlgn val="ctr"/>
        <c:lblOffset val="100"/>
        <c:tickLblSkip val="1"/>
        <c:tickMarkSkip val="1"/>
        <c:noMultiLvlLbl val="0"/>
      </c:catAx>
      <c:valAx>
        <c:axId val="4260794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26082968"/>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95A9-4933-8DBB-EC8B900979F3}"/>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95A9-4933-8DBB-EC8B900979F3}"/>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95A9-4933-8DBB-EC8B900979F3}"/>
            </c:ext>
          </c:extLst>
        </c:ser>
        <c:dLbls>
          <c:showLegendKey val="0"/>
          <c:showVal val="0"/>
          <c:showCatName val="0"/>
          <c:showSerName val="0"/>
          <c:showPercent val="0"/>
          <c:showBubbleSize val="0"/>
        </c:dLbls>
        <c:marker val="1"/>
        <c:smooth val="0"/>
        <c:axId val="361931160"/>
        <c:axId val="426616048"/>
      </c:lineChart>
      <c:catAx>
        <c:axId val="361931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616048"/>
        <c:crosses val="autoZero"/>
        <c:auto val="1"/>
        <c:lblAlgn val="ctr"/>
        <c:lblOffset val="100"/>
        <c:tickLblSkip val="1"/>
        <c:tickMarkSkip val="1"/>
        <c:noMultiLvlLbl val="0"/>
      </c:catAx>
      <c:valAx>
        <c:axId val="4266160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3116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8C04-44A3-BC36-B4EC2F58413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8C04-44A3-BC36-B4EC2F58413D}"/>
            </c:ext>
          </c:extLst>
        </c:ser>
        <c:dLbls>
          <c:showLegendKey val="0"/>
          <c:showVal val="0"/>
          <c:showCatName val="0"/>
          <c:showSerName val="0"/>
          <c:showPercent val="0"/>
          <c:showBubbleSize val="0"/>
        </c:dLbls>
        <c:gapWidth val="150"/>
        <c:overlap val="50"/>
        <c:axId val="426621144"/>
        <c:axId val="426621928"/>
      </c:barChart>
      <c:catAx>
        <c:axId val="426621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621928"/>
        <c:crosses val="autoZero"/>
        <c:auto val="1"/>
        <c:lblAlgn val="ctr"/>
        <c:lblOffset val="100"/>
        <c:tickLblSkip val="1"/>
        <c:tickMarkSkip val="1"/>
        <c:noMultiLvlLbl val="0"/>
      </c:catAx>
      <c:valAx>
        <c:axId val="4266219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62114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6AB6-4107-AF35-03F543373918}"/>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6AB6-4107-AF35-03F543373918}"/>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6AB6-4107-AF35-03F543373918}"/>
            </c:ext>
          </c:extLst>
        </c:ser>
        <c:dLbls>
          <c:showLegendKey val="0"/>
          <c:showVal val="0"/>
          <c:showCatName val="0"/>
          <c:showSerName val="0"/>
          <c:showPercent val="0"/>
          <c:showBubbleSize val="0"/>
        </c:dLbls>
        <c:marker val="1"/>
        <c:smooth val="0"/>
        <c:axId val="361933512"/>
        <c:axId val="361926456"/>
      </c:lineChart>
      <c:catAx>
        <c:axId val="361933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26456"/>
        <c:crosses val="autoZero"/>
        <c:auto val="1"/>
        <c:lblAlgn val="ctr"/>
        <c:lblOffset val="100"/>
        <c:tickLblSkip val="1"/>
        <c:tickMarkSkip val="1"/>
        <c:noMultiLvlLbl val="0"/>
      </c:catAx>
      <c:valAx>
        <c:axId val="3619264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3351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6E71-4325-B4F5-A384D89F99E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6E71-4325-B4F5-A384D89F99EA}"/>
            </c:ext>
          </c:extLst>
        </c:ser>
        <c:dLbls>
          <c:showLegendKey val="0"/>
          <c:showVal val="0"/>
          <c:showCatName val="0"/>
          <c:showSerName val="0"/>
          <c:showPercent val="0"/>
          <c:showBubbleSize val="0"/>
        </c:dLbls>
        <c:gapWidth val="150"/>
        <c:overlap val="50"/>
        <c:axId val="361929592"/>
        <c:axId val="361928024"/>
      </c:barChart>
      <c:catAx>
        <c:axId val="361929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28024"/>
        <c:crosses val="autoZero"/>
        <c:auto val="1"/>
        <c:lblAlgn val="ctr"/>
        <c:lblOffset val="100"/>
        <c:tickLblSkip val="1"/>
        <c:tickMarkSkip val="1"/>
        <c:noMultiLvlLbl val="0"/>
      </c:catAx>
      <c:valAx>
        <c:axId val="361928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2959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xmlns:c16r2="http://schemas.microsoft.com/office/drawing/2015/06/chart">
            <c:ext xmlns:c16="http://schemas.microsoft.com/office/drawing/2014/chart" uri="{C3380CC4-5D6E-409C-BE32-E72D297353CC}">
              <c16:uniqueId val="{00000000-3AB6-45BC-984E-5F123C233480}"/>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xmlns:c16r2="http://schemas.microsoft.com/office/drawing/2015/06/chart">
            <c:ext xmlns:c16="http://schemas.microsoft.com/office/drawing/2014/chart" uri="{C3380CC4-5D6E-409C-BE32-E72D297353CC}">
              <c16:uniqueId val="{00000001-3AB6-45BC-984E-5F123C233480}"/>
            </c:ext>
          </c:extLst>
        </c:ser>
        <c:dLbls>
          <c:showLegendKey val="0"/>
          <c:showVal val="0"/>
          <c:showCatName val="0"/>
          <c:showSerName val="0"/>
          <c:showPercent val="0"/>
          <c:showBubbleSize val="0"/>
        </c:dLbls>
        <c:marker val="1"/>
        <c:smooth val="0"/>
        <c:axId val="361927632"/>
        <c:axId val="361929984"/>
      </c:lineChart>
      <c:catAx>
        <c:axId val="36192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29984"/>
        <c:crosses val="autoZero"/>
        <c:auto val="1"/>
        <c:lblAlgn val="ctr"/>
        <c:lblOffset val="100"/>
        <c:tickLblSkip val="1"/>
        <c:tickMarkSkip val="1"/>
        <c:noMultiLvlLbl val="0"/>
      </c:catAx>
      <c:valAx>
        <c:axId val="3619299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2763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xmlns:c16r2="http://schemas.microsoft.com/office/drawing/2015/06/chart">
            <c:ext xmlns:c16="http://schemas.microsoft.com/office/drawing/2014/chart" uri="{C3380CC4-5D6E-409C-BE32-E72D297353CC}">
              <c16:uniqueId val="{00000000-482F-4589-9C95-87BA679FC655}"/>
            </c:ext>
          </c:extLst>
        </c:ser>
        <c:dLbls>
          <c:showLegendKey val="0"/>
          <c:showVal val="0"/>
          <c:showCatName val="0"/>
          <c:showSerName val="0"/>
          <c:showPercent val="0"/>
          <c:showBubbleSize val="0"/>
        </c:dLbls>
        <c:gapWidth val="150"/>
        <c:axId val="361928808"/>
        <c:axId val="361930376"/>
      </c:barChart>
      <c:catAx>
        <c:axId val="361928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361930376"/>
        <c:crosses val="autoZero"/>
        <c:auto val="1"/>
        <c:lblAlgn val="ctr"/>
        <c:lblOffset val="100"/>
        <c:tickLblSkip val="1"/>
        <c:tickMarkSkip val="1"/>
        <c:noMultiLvlLbl val="0"/>
      </c:catAx>
      <c:valAx>
        <c:axId val="3619303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361928808"/>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AF3B-4B9A-96B4-1FE0087B06B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AF3B-4B9A-96B4-1FE0087B06B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AF3B-4B9A-96B4-1FE0087B06B5}"/>
            </c:ext>
          </c:extLst>
        </c:ser>
        <c:dLbls>
          <c:showLegendKey val="0"/>
          <c:showVal val="0"/>
          <c:showCatName val="0"/>
          <c:showSerName val="0"/>
          <c:showPercent val="0"/>
          <c:showBubbleSize val="0"/>
        </c:dLbls>
        <c:marker val="1"/>
        <c:smooth val="0"/>
        <c:axId val="361931552"/>
        <c:axId val="426084536"/>
      </c:lineChart>
      <c:catAx>
        <c:axId val="36193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84536"/>
        <c:crosses val="autoZero"/>
        <c:auto val="1"/>
        <c:lblAlgn val="ctr"/>
        <c:lblOffset val="100"/>
        <c:tickLblSkip val="1"/>
        <c:tickMarkSkip val="1"/>
        <c:noMultiLvlLbl val="0"/>
      </c:catAx>
      <c:valAx>
        <c:axId val="4260845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193155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2C62-4FC9-9219-7A0FB301748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2C62-4FC9-9219-7A0FB301748A}"/>
            </c:ext>
          </c:extLst>
        </c:ser>
        <c:dLbls>
          <c:showLegendKey val="0"/>
          <c:showVal val="0"/>
          <c:showCatName val="0"/>
          <c:showSerName val="0"/>
          <c:showPercent val="0"/>
          <c:showBubbleSize val="0"/>
        </c:dLbls>
        <c:gapWidth val="150"/>
        <c:overlap val="50"/>
        <c:axId val="426080616"/>
        <c:axId val="426084144"/>
      </c:barChart>
      <c:catAx>
        <c:axId val="426080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84144"/>
        <c:crosses val="autoZero"/>
        <c:auto val="1"/>
        <c:lblAlgn val="ctr"/>
        <c:lblOffset val="100"/>
        <c:tickLblSkip val="1"/>
        <c:tickMarkSkip val="1"/>
        <c:noMultiLvlLbl val="0"/>
      </c:catAx>
      <c:valAx>
        <c:axId val="4260841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8061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C0C4-4E55-807C-413DD168E61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C0C4-4E55-807C-413DD168E61D}"/>
            </c:ext>
          </c:extLst>
        </c:ser>
        <c:dLbls>
          <c:showLegendKey val="0"/>
          <c:showVal val="0"/>
          <c:showCatName val="0"/>
          <c:showSerName val="0"/>
          <c:showPercent val="0"/>
          <c:showBubbleSize val="0"/>
        </c:dLbls>
        <c:gapWidth val="150"/>
        <c:overlap val="50"/>
        <c:axId val="426083360"/>
        <c:axId val="426082576"/>
      </c:barChart>
      <c:catAx>
        <c:axId val="42608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82576"/>
        <c:crosses val="autoZero"/>
        <c:auto val="1"/>
        <c:lblAlgn val="ctr"/>
        <c:lblOffset val="100"/>
        <c:tickLblSkip val="1"/>
        <c:tickMarkSkip val="1"/>
        <c:noMultiLvlLbl val="0"/>
      </c:catAx>
      <c:valAx>
        <c:axId val="4260825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8336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6E96-48E0-A7C8-90309C76C60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6E96-48E0-A7C8-90309C76C60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6E96-48E0-A7C8-90309C76C605}"/>
            </c:ext>
          </c:extLst>
        </c:ser>
        <c:dLbls>
          <c:showLegendKey val="0"/>
          <c:showVal val="0"/>
          <c:showCatName val="0"/>
          <c:showSerName val="0"/>
          <c:showPercent val="0"/>
          <c:showBubbleSize val="0"/>
        </c:dLbls>
        <c:marker val="1"/>
        <c:smooth val="0"/>
        <c:axId val="426077872"/>
        <c:axId val="426078264"/>
      </c:lineChart>
      <c:catAx>
        <c:axId val="426077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78264"/>
        <c:crosses val="autoZero"/>
        <c:auto val="1"/>
        <c:lblAlgn val="ctr"/>
        <c:lblOffset val="100"/>
        <c:tickLblSkip val="1"/>
        <c:tickMarkSkip val="1"/>
        <c:noMultiLvlLbl val="0"/>
      </c:catAx>
      <c:valAx>
        <c:axId val="426078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2607787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xmlns=""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342900</xdr:colOff>
      <xdr:row>0</xdr:row>
      <xdr:rowOff>0</xdr:rowOff>
    </xdr:to>
    <xdr:graphicFrame macro="">
      <xdr:nvGraphicFramePr>
        <xdr:cNvPr id="2" name="Диаграмма 1">
          <a:extLst>
            <a:ext uri="{FF2B5EF4-FFF2-40B4-BE49-F238E27FC236}">
              <a16:creationId xmlns:a16="http://schemas.microsoft.com/office/drawing/2014/main" xmlns="" id="{F456C37F-85DD-453A-84C5-19905AEA7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3" name="Диаграмма 2">
          <a:extLst>
            <a:ext uri="{FF2B5EF4-FFF2-40B4-BE49-F238E27FC236}">
              <a16:creationId xmlns:a16="http://schemas.microsoft.com/office/drawing/2014/main" xmlns="" id="{ADDAE7B1-E991-4913-AFA3-C7623500C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4" name="Диаграмма 3">
          <a:extLst>
            <a:ext uri="{FF2B5EF4-FFF2-40B4-BE49-F238E27FC236}">
              <a16:creationId xmlns:a16="http://schemas.microsoft.com/office/drawing/2014/main" xmlns="" id="{6AA9844D-2F70-4EED-B426-A2D014DC2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5" name="Диаграмма 4">
          <a:extLst>
            <a:ext uri="{FF2B5EF4-FFF2-40B4-BE49-F238E27FC236}">
              <a16:creationId xmlns:a16="http://schemas.microsoft.com/office/drawing/2014/main" xmlns="" id="{E170D582-BD59-44EA-9F6C-2035F7B06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6" name="Диаграмма 5">
          <a:extLst>
            <a:ext uri="{FF2B5EF4-FFF2-40B4-BE49-F238E27FC236}">
              <a16:creationId xmlns:a16="http://schemas.microsoft.com/office/drawing/2014/main" xmlns="" id="{04DE84D2-EC60-419F-A4F8-14E2B660E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7" name="Диаграмма 6">
          <a:extLst>
            <a:ext uri="{FF2B5EF4-FFF2-40B4-BE49-F238E27FC236}">
              <a16:creationId xmlns:a16="http://schemas.microsoft.com/office/drawing/2014/main" xmlns="" id="{345D599F-D839-4535-B085-F7F21EFA1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8" name="Диаграмма 7">
          <a:extLst>
            <a:ext uri="{FF2B5EF4-FFF2-40B4-BE49-F238E27FC236}">
              <a16:creationId xmlns:a16="http://schemas.microsoft.com/office/drawing/2014/main" xmlns="" id="{BE0230CF-50BB-4DB1-B1D0-5939734F0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9" name="Диаграмма 8">
          <a:extLst>
            <a:ext uri="{FF2B5EF4-FFF2-40B4-BE49-F238E27FC236}">
              <a16:creationId xmlns:a16="http://schemas.microsoft.com/office/drawing/2014/main" xmlns="" id="{9C70CA24-6E2D-4759-8E77-1ACB43BCD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0" name="Диаграмма 9">
          <a:extLst>
            <a:ext uri="{FF2B5EF4-FFF2-40B4-BE49-F238E27FC236}">
              <a16:creationId xmlns:a16="http://schemas.microsoft.com/office/drawing/2014/main" xmlns="" id="{E87F13A7-931F-4310-9D8F-67A109500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1" name="Диаграмма 10">
          <a:extLst>
            <a:ext uri="{FF2B5EF4-FFF2-40B4-BE49-F238E27FC236}">
              <a16:creationId xmlns:a16="http://schemas.microsoft.com/office/drawing/2014/main" xmlns="" id="{D169FE6E-4E02-4B37-887B-FF27DCC73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2" name="Диаграмма 11">
          <a:extLst>
            <a:ext uri="{FF2B5EF4-FFF2-40B4-BE49-F238E27FC236}">
              <a16:creationId xmlns:a16="http://schemas.microsoft.com/office/drawing/2014/main" xmlns="" id="{A06BB840-BFEF-4976-B6DE-0FF56843C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3" name="Диаграмма 12">
          <a:extLst>
            <a:ext uri="{FF2B5EF4-FFF2-40B4-BE49-F238E27FC236}">
              <a16:creationId xmlns:a16="http://schemas.microsoft.com/office/drawing/2014/main" xmlns="" id="{24F78D76-3646-4D47-8130-0D6312D1A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4" name="Диаграмма 13">
          <a:extLst>
            <a:ext uri="{FF2B5EF4-FFF2-40B4-BE49-F238E27FC236}">
              <a16:creationId xmlns:a16="http://schemas.microsoft.com/office/drawing/2014/main" xmlns="" id="{CEE85080-32E8-41D5-A6BC-D63C5D6C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5" name="Диаграмма 14">
          <a:extLst>
            <a:ext uri="{FF2B5EF4-FFF2-40B4-BE49-F238E27FC236}">
              <a16:creationId xmlns:a16="http://schemas.microsoft.com/office/drawing/2014/main" xmlns="" id="{C5C9D509-7FEC-43E6-A6FD-EAD3D7593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VIA/&#1055;&#1080;&#1083;&#1086;&#1090;&#1085;&#1099;&#1077;%20&#1088;&#1072;&#1079;&#1088;&#1072;&#1073;&#1086;&#1090;&#1082;&#1080;/&#1055;&#1088;&#1086;&#1080;&#1079;&#1074;&#1086;&#1076;&#1089;&#1090;&#1074;&#1077;&#1085;&#1085;&#1099;&#1081;%20&#1080;&#1085;&#1082;&#1091;&#1073;&#1072;&#1090;&#1086;&#1088;/TTA/Fin_prognoos_03_05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iri/Documents/Hindamised/2015%20vormid/Turismiprojekti%20finantsanal&#252;&#252;si%20vorm%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VIA/&#1055;&#1080;&#1083;&#1086;&#1090;&#1085;&#1099;&#1077;%20&#1088;&#1072;&#1079;&#1088;&#1072;&#1073;&#1086;&#1090;&#1082;&#1080;/&#1055;&#1088;&#1086;&#1080;&#1079;&#1074;&#1086;&#1076;&#1089;&#1090;&#1074;&#1077;&#1085;&#1085;&#1099;&#1081;%20&#1080;&#1085;&#1082;&#1091;&#1073;&#1072;&#1090;&#1086;&#1088;/TTA/Fin_progno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TTA%20Kulgu\NTTA.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VIA/&#1055;&#1080;&#1083;&#1086;&#1090;&#1085;&#1099;&#1077;%20&#1088;&#1072;&#1079;&#1088;&#1072;&#1073;&#1086;&#1090;&#1082;&#1080;/&#1055;&#1088;&#1086;&#1080;&#1079;&#1074;&#1086;&#1076;&#1089;&#1090;&#1074;&#1077;&#1085;&#1085;&#1099;&#1081;%20&#1080;&#1085;&#1082;&#1091;&#1073;&#1072;&#1090;&#1086;&#1088;/TTA/Puhastuluanaluu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TTA%20Kulgu\&#1054;&#1073;&#1088;&#1072;&#1079;&#1094;&#1099;\Aquaphor_prognozy_10_12_2013_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TTA%20Kulgu\&#1054;&#1073;&#1088;&#1072;&#1079;&#1094;&#1099;\Aquaphor_prognozy_04_12_2013_B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делирование"/>
      <sheetName val="Прибыль"/>
      <sheetName val="Доходы"/>
      <sheetName val="Помещения"/>
      <sheetName val="Допущения"/>
      <sheetName val="Расходы"/>
      <sheetName val="Инвестиции"/>
      <sheetName val="Link"/>
      <sheetName val="Стат цен электро"/>
      <sheetName val="Сет плата VKG"/>
      <sheetName val="Тепло"/>
    </sheetNames>
    <sheetDataSet>
      <sheetData sheetId="0" refreshError="1"/>
      <sheetData sheetId="1" refreshError="1"/>
      <sheetData sheetId="2" refreshError="1"/>
      <sheetData sheetId="3" refreshError="1"/>
      <sheetData sheetId="4" refreshError="1"/>
      <sheetData sheetId="5" refreshError="1"/>
      <sheetData sheetId="6">
        <row r="7">
          <cell r="E7">
            <v>97658</v>
          </cell>
        </row>
        <row r="12">
          <cell r="E12">
            <v>178142.45</v>
          </cell>
        </row>
        <row r="17">
          <cell r="E17">
            <v>940000</v>
          </cell>
        </row>
        <row r="28">
          <cell r="C28">
            <v>7.6923076923076927E-2</v>
          </cell>
        </row>
        <row r="29">
          <cell r="C29">
            <v>7.6923076923076927E-2</v>
          </cell>
        </row>
        <row r="30">
          <cell r="C30">
            <v>7.6923076923076927E-2</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Esileht"/>
      <sheetName val="1. Projekti elluviimise kulud"/>
      <sheetName val="2.a Tulud-kulud projektiga I"/>
      <sheetName val="2.b Tulud-kulud projektiga II"/>
      <sheetName val="3. Tulud-kulud projektita"/>
      <sheetName val="4. Lisanduvad tulud-kulud"/>
      <sheetName val="5. Abikõlblik kulu"/>
      <sheetName val="6. Rahavood"/>
      <sheetName val="7. Tasuvus"/>
      <sheetName val="Maksumäärad"/>
      <sheetName val="Arvestusperioodid"/>
    </sheetNames>
    <sheetDataSet>
      <sheetData sheetId="0"/>
      <sheetData sheetId="1"/>
      <sheetData sheetId="2"/>
      <sheetData sheetId="3"/>
      <sheetData sheetId="4"/>
      <sheetData sheetId="5"/>
      <sheetData sheetId="6"/>
      <sheetData sheetId="7"/>
      <sheetData sheetId="8">
        <row r="28">
          <cell r="D28">
            <v>0</v>
          </cell>
          <cell r="E28">
            <v>0</v>
          </cell>
          <cell r="F28">
            <v>0</v>
          </cell>
          <cell r="G28">
            <v>0</v>
          </cell>
          <cell r="H28">
            <v>0</v>
          </cell>
          <cell r="I28">
            <v>0</v>
          </cell>
          <cell r="J28">
            <v>0</v>
          </cell>
          <cell r="K28">
            <v>0</v>
          </cell>
          <cell r="L28">
            <v>0</v>
          </cell>
          <cell r="M28">
            <v>0</v>
          </cell>
          <cell r="N28">
            <v>0</v>
          </cell>
          <cell r="O28">
            <v>0</v>
          </cell>
          <cell r="S28">
            <v>0</v>
          </cell>
        </row>
      </sheetData>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делирование"/>
      <sheetName val="Прибыль"/>
      <sheetName val="Доходы"/>
      <sheetName val="Помещения"/>
      <sheetName val="Допущения"/>
      <sheetName val="Расходы"/>
      <sheetName val="Инвестиции"/>
      <sheetName val="Link"/>
      <sheetName val="Стат цен электро"/>
      <sheetName val="Сет плата VKG"/>
      <sheetName val="Тепло"/>
    </sheetNames>
    <sheetDataSet>
      <sheetData sheetId="0" refreshError="1"/>
      <sheetData sheetId="1" refreshError="1"/>
      <sheetData sheetId="2" refreshError="1"/>
      <sheetData sheetId="3">
        <row r="52">
          <cell r="A52" t="str">
            <v>Административный корпус</v>
          </cell>
        </row>
      </sheetData>
      <sheetData sheetId="4">
        <row r="3">
          <cell r="B3" t="str">
            <v>%</v>
          </cell>
        </row>
        <row r="18">
          <cell r="C18">
            <v>0.11878701488231595</v>
          </cell>
        </row>
        <row r="30">
          <cell r="B30" t="str">
            <v>m2</v>
          </cell>
        </row>
        <row r="31">
          <cell r="B31" t="str">
            <v>m2</v>
          </cell>
        </row>
      </sheetData>
      <sheetData sheetId="5" refreshError="1"/>
      <sheetData sheetId="6">
        <row r="4">
          <cell r="F4">
            <v>0.79910763698485587</v>
          </cell>
        </row>
      </sheetData>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i elluviimise kulud"/>
      <sheetName val="Vara jaakvaartus"/>
      <sheetName val="Makroprognoosid"/>
      <sheetName val="Eeldused_muugi"/>
      <sheetName val="Фин_модель_база"/>
      <sheetName val="Stsenaarium_NS_0"/>
      <sheetName val="B_Косвенный эффект 0"/>
      <sheetName val="B_Косвенный эффект"/>
      <sheetName val="Stsenaarium_NS_tais"/>
      <sheetName val="Inkrementaalne_tulud_kulud"/>
      <sheetName val="Diskonto A"/>
      <sheetName val="Diskonto B1"/>
      <sheetName val="Diskonto B2"/>
      <sheetName val="abikolblik kulu"/>
      <sheetName val="Трейлер"/>
      <sheetName val="Результаты"/>
      <sheetName val="Лист2"/>
      <sheetName val="Лист3"/>
      <sheetName val="Лист4"/>
      <sheetName val="Структура сценария"/>
      <sheetName val="Денежный поток"/>
      <sheetName val="Макропрогноз"/>
      <sheetName val="Маркетинг"/>
      <sheetName val="Finanseerimine"/>
      <sheetName val="copy"/>
      <sheetName val="GDP"/>
      <sheetName val="Inkrementaalne_tulud_kulud B"/>
    </sheetNames>
    <sheetDataSet>
      <sheetData sheetId="0">
        <row r="1">
          <cell r="F1" t="str">
            <v>Projekti realiseerimine</v>
          </cell>
        </row>
        <row r="2">
          <cell r="F2" t="str">
            <v>(Investeerimisperiood)</v>
          </cell>
          <cell r="H2">
            <v>1</v>
          </cell>
          <cell r="I2">
            <v>2</v>
          </cell>
          <cell r="J2">
            <v>3</v>
          </cell>
          <cell r="K2">
            <v>4</v>
          </cell>
          <cell r="L2">
            <v>5</v>
          </cell>
          <cell r="M2">
            <v>6</v>
          </cell>
          <cell r="N2">
            <v>7</v>
          </cell>
          <cell r="O2">
            <v>8</v>
          </cell>
          <cell r="P2">
            <v>9</v>
          </cell>
          <cell r="Q2">
            <v>10</v>
          </cell>
          <cell r="R2">
            <v>11</v>
          </cell>
          <cell r="S2">
            <v>12</v>
          </cell>
          <cell r="T2">
            <v>13</v>
          </cell>
          <cell r="U2">
            <v>14</v>
          </cell>
          <cell r="V2">
            <v>15</v>
          </cell>
          <cell r="W2">
            <v>16</v>
          </cell>
          <cell r="X2">
            <v>17</v>
          </cell>
          <cell r="Y2">
            <v>18</v>
          </cell>
          <cell r="Z2">
            <v>19</v>
          </cell>
          <cell r="AA2">
            <v>20</v>
          </cell>
          <cell r="AB2">
            <v>21</v>
          </cell>
          <cell r="AC2">
            <v>22</v>
          </cell>
          <cell r="AD2">
            <v>23</v>
          </cell>
          <cell r="AE2">
            <v>24</v>
          </cell>
          <cell r="AF2">
            <v>25</v>
          </cell>
        </row>
      </sheetData>
      <sheetData sheetId="1">
        <row r="3">
          <cell r="F3">
            <v>2016</v>
          </cell>
        </row>
      </sheetData>
      <sheetData sheetId="2">
        <row r="1">
          <cell r="F1" t="str">
            <v>Projekti</v>
          </cell>
        </row>
      </sheetData>
      <sheetData sheetId="3">
        <row r="18">
          <cell r="I18">
            <v>108892.4776</v>
          </cell>
        </row>
      </sheetData>
      <sheetData sheetId="4">
        <row r="2">
          <cell r="H2">
            <v>1</v>
          </cell>
          <cell r="I2">
            <v>2</v>
          </cell>
          <cell r="J2">
            <v>3</v>
          </cell>
          <cell r="K2">
            <v>4</v>
          </cell>
          <cell r="L2">
            <v>5</v>
          </cell>
          <cell r="M2">
            <v>6</v>
          </cell>
          <cell r="N2">
            <v>7</v>
          </cell>
          <cell r="O2">
            <v>8</v>
          </cell>
          <cell r="P2">
            <v>9</v>
          </cell>
          <cell r="Q2">
            <v>10</v>
          </cell>
          <cell r="R2">
            <v>11</v>
          </cell>
          <cell r="S2">
            <v>12</v>
          </cell>
          <cell r="T2">
            <v>13</v>
          </cell>
          <cell r="U2">
            <v>14</v>
          </cell>
          <cell r="V2">
            <v>15</v>
          </cell>
          <cell r="W2">
            <v>16</v>
          </cell>
          <cell r="X2">
            <v>17</v>
          </cell>
          <cell r="Y2">
            <v>18</v>
          </cell>
          <cell r="Z2">
            <v>19</v>
          </cell>
          <cell r="AA2">
            <v>20</v>
          </cell>
          <cell r="AB2">
            <v>21</v>
          </cell>
          <cell r="AC2">
            <v>22</v>
          </cell>
          <cell r="AD2">
            <v>23</v>
          </cell>
          <cell r="AE2">
            <v>24</v>
          </cell>
          <cell r="AF2">
            <v>25</v>
          </cell>
        </row>
      </sheetData>
      <sheetData sheetId="5"/>
      <sheetData sheetId="6"/>
      <sheetData sheetId="7">
        <row r="82">
          <cell r="A82" t="str">
            <v>Net Cash flow</v>
          </cell>
        </row>
      </sheetData>
      <sheetData sheetId="8"/>
      <sheetData sheetId="9">
        <row r="1">
          <cell r="H1" t="str">
            <v>Periood peale projekti realiseerimist (aastad)</v>
          </cell>
        </row>
      </sheetData>
      <sheetData sheetId="10">
        <row r="24">
          <cell r="AG24">
            <v>-97.495697155511607</v>
          </cell>
        </row>
      </sheetData>
      <sheetData sheetId="11"/>
      <sheetData sheetId="12"/>
      <sheetData sheetId="13"/>
      <sheetData sheetId="14"/>
      <sheetData sheetId="15"/>
      <sheetData sheetId="16"/>
      <sheetData sheetId="17"/>
      <sheetData sheetId="18"/>
      <sheetData sheetId="19"/>
      <sheetData sheetId="20">
        <row r="16">
          <cell r="F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row>
        <row r="17">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row>
      </sheetData>
      <sheetData sheetId="21"/>
      <sheetData sheetId="22"/>
      <sheetData sheetId="23"/>
      <sheetData sheetId="24">
        <row r="11">
          <cell r="A11" t="str">
            <v>Näitaja</v>
          </cell>
        </row>
      </sheetData>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ileht"/>
      <sheetName val="1. Projekti elluviimise kulud"/>
      <sheetName val="Допущения"/>
      <sheetName val="Eeldused_muugi"/>
      <sheetName val="Помещения"/>
      <sheetName val="2. Tulud-kulud projektiga"/>
      <sheetName val="B_Косвенный эффект"/>
      <sheetName val="Инвестиции"/>
      <sheetName val="Прибыль"/>
      <sheetName val="Link tabel"/>
      <sheetName val="6. Rahavood"/>
      <sheetName val="Расходы"/>
      <sheetName val="Stat"/>
      <sheetName val="GDP"/>
      <sheetName val="B_Косвенный эффект 0"/>
      <sheetName val="Palgatasemad ja sots. maks"/>
      <sheetName val="Diskonto A"/>
      <sheetName val="Diskonto B1"/>
      <sheetName val="Diskonto B2"/>
      <sheetName val="3. Tulud-kulud projektita"/>
      <sheetName val="4. Lisanduvad tulud-kulud"/>
      <sheetName val="5. Abikõlblik kulu"/>
      <sheetName val="7. Tasuvus"/>
      <sheetName val="Link"/>
      <sheetName val="Arvestusperioodid"/>
      <sheetName val="Maksumäärad"/>
      <sheetName val="Makroprognoosid"/>
      <sheetName val="Макропрогноз"/>
      <sheetName val="Juhend"/>
    </sheetNames>
    <sheetDataSet>
      <sheetData sheetId="0">
        <row r="10">
          <cell r="B10">
            <v>2023</v>
          </cell>
        </row>
      </sheetData>
      <sheetData sheetId="1">
        <row r="9">
          <cell r="J9">
            <v>7740000</v>
          </cell>
        </row>
        <row r="45">
          <cell r="F45">
            <v>0</v>
          </cell>
          <cell r="G45">
            <v>0</v>
          </cell>
        </row>
      </sheetData>
      <sheetData sheetId="2">
        <row r="30">
          <cell r="C30">
            <v>2700</v>
          </cell>
          <cell r="D30">
            <v>0</v>
          </cell>
          <cell r="E30">
            <v>2700</v>
          </cell>
        </row>
        <row r="31">
          <cell r="C31">
            <v>300</v>
          </cell>
          <cell r="D31">
            <v>400</v>
          </cell>
          <cell r="E31">
            <v>300</v>
          </cell>
        </row>
      </sheetData>
      <sheetData sheetId="3">
        <row r="3">
          <cell r="D3">
            <v>2023</v>
          </cell>
          <cell r="E3">
            <v>2024</v>
          </cell>
          <cell r="F3">
            <v>2025</v>
          </cell>
          <cell r="G3">
            <v>2026</v>
          </cell>
          <cell r="H3">
            <v>2027</v>
          </cell>
          <cell r="I3">
            <v>2028</v>
          </cell>
          <cell r="J3">
            <v>2029</v>
          </cell>
          <cell r="K3">
            <v>2030</v>
          </cell>
          <cell r="L3">
            <v>2031</v>
          </cell>
          <cell r="M3">
            <v>2032</v>
          </cell>
          <cell r="N3">
            <v>2033</v>
          </cell>
          <cell r="O3">
            <v>2034</v>
          </cell>
          <cell r="P3">
            <v>2035</v>
          </cell>
          <cell r="Q3">
            <v>2036</v>
          </cell>
          <cell r="R3">
            <v>2037</v>
          </cell>
          <cell r="S3">
            <v>2038</v>
          </cell>
          <cell r="T3">
            <v>2039</v>
          </cell>
          <cell r="U3">
            <v>2040</v>
          </cell>
          <cell r="V3">
            <v>2041</v>
          </cell>
          <cell r="W3">
            <v>2042</v>
          </cell>
          <cell r="X3">
            <v>2043</v>
          </cell>
          <cell r="Y3">
            <v>2044</v>
          </cell>
          <cell r="Z3">
            <v>2045</v>
          </cell>
          <cell r="AA3">
            <v>2046</v>
          </cell>
          <cell r="AB3">
            <v>2047</v>
          </cell>
          <cell r="AC3">
            <v>2048</v>
          </cell>
          <cell r="AD3">
            <v>2049</v>
          </cell>
        </row>
      </sheetData>
      <sheetData sheetId="4"/>
      <sheetData sheetId="5"/>
      <sheetData sheetId="6">
        <row r="94">
          <cell r="I94">
            <v>3.995098608562647</v>
          </cell>
        </row>
      </sheetData>
      <sheetData sheetId="7"/>
      <sheetData sheetId="8"/>
      <sheetData sheetId="9"/>
      <sheetData sheetId="10"/>
      <sheetData sheetId="11">
        <row r="55">
          <cell r="A55">
            <v>0</v>
          </cell>
          <cell r="E55">
            <v>0</v>
          </cell>
          <cell r="F55">
            <v>0</v>
          </cell>
          <cell r="G55">
            <v>0</v>
          </cell>
          <cell r="H55">
            <v>0</v>
          </cell>
          <cell r="I55">
            <v>0</v>
          </cell>
          <cell r="J55">
            <v>0</v>
          </cell>
          <cell r="K55">
            <v>0</v>
          </cell>
        </row>
      </sheetData>
      <sheetData sheetId="12">
        <row r="25">
          <cell r="C25">
            <v>1402</v>
          </cell>
        </row>
        <row r="47">
          <cell r="D47">
            <v>170.6</v>
          </cell>
        </row>
        <row r="48">
          <cell r="D48">
            <v>35.599999999999994</v>
          </cell>
        </row>
      </sheetData>
      <sheetData sheetId="13"/>
      <sheetData sheetId="14"/>
      <sheetData sheetId="15"/>
      <sheetData sheetId="16"/>
      <sheetData sheetId="17"/>
      <sheetData sheetId="18"/>
      <sheetData sheetId="19"/>
      <sheetData sheetId="20"/>
      <sheetData sheetId="21">
        <row r="18">
          <cell r="C18">
            <v>1</v>
          </cell>
        </row>
      </sheetData>
      <sheetData sheetId="22"/>
      <sheetData sheetId="23"/>
      <sheetData sheetId="24"/>
      <sheetData sheetId="25">
        <row r="3">
          <cell r="B3">
            <v>0.33</v>
          </cell>
          <cell r="C3">
            <v>0.33</v>
          </cell>
          <cell r="D3">
            <v>0.33</v>
          </cell>
          <cell r="E3">
            <v>0.33</v>
          </cell>
          <cell r="F3">
            <v>0.33</v>
          </cell>
          <cell r="G3">
            <v>0.33</v>
          </cell>
        </row>
        <row r="4">
          <cell r="B4">
            <v>8.0000000000000002E-3</v>
          </cell>
          <cell r="C4">
            <v>8.0000000000000002E-3</v>
          </cell>
          <cell r="D4">
            <v>8.0000000000000002E-3</v>
          </cell>
          <cell r="E4">
            <v>8.0000000000000002E-3</v>
          </cell>
          <cell r="F4">
            <v>8.0000000000000002E-3</v>
          </cell>
          <cell r="G4">
            <v>8.0000000000000002E-3</v>
          </cell>
        </row>
      </sheetData>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ultant"/>
      <sheetName val="Лист2"/>
      <sheetName val="andmed"/>
      <sheetName val="Ключевые переменные"/>
      <sheetName val="План продаж"/>
      <sheetName val="Отчет о прибыли"/>
      <sheetName val="Движение денежных средств"/>
      <sheetName val="Баланс"/>
      <sheetName val="Investment A"/>
      <sheetName val="График"/>
      <sheetName val="Общественное влияние"/>
      <sheetName val="Инвест_кредит"/>
      <sheetName val="Лист4"/>
      <sheetName val="Оборот_кредит"/>
      <sheetName val="Лизинг"/>
      <sheetName val="Лист1"/>
      <sheetName val="WACC"/>
      <sheetName val="Лист3"/>
      <sheetName val="Link"/>
      <sheetName val="BEP"/>
      <sheetName val="Лист5"/>
      <sheetName val="Оборудован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27">
          <cell r="I127">
            <v>12697303.870000001</v>
          </cell>
        </row>
      </sheetData>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ultant"/>
      <sheetName val="Лист2"/>
      <sheetName val="andmed"/>
      <sheetName val="Ключевые переменные"/>
      <sheetName val="План продаж"/>
      <sheetName val="Отчет о прибыли"/>
      <sheetName val="Движение денежных средств"/>
      <sheetName val="Баланс"/>
      <sheetName val="Investment A"/>
      <sheetName val="График"/>
      <sheetName val="Investment B"/>
      <sheetName val="Общественное влияние"/>
      <sheetName val="Инвест_кредит"/>
      <sheetName val="Лист4"/>
      <sheetName val="Оборот_кредит"/>
      <sheetName val="Лизинг"/>
      <sheetName val="Лист1"/>
      <sheetName val="WACC"/>
      <sheetName val="Лист3"/>
      <sheetName val="Link"/>
      <sheetName val="BEP"/>
      <sheetName val="Лист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5">
          <cell r="Q65">
            <v>10442103.870000001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eet.kuusmik@ivia.ee"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44"/>
  <sheetViews>
    <sheetView showGridLines="0" topLeftCell="A34" workbookViewId="0">
      <selection activeCell="E15" sqref="E15"/>
    </sheetView>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183</v>
      </c>
    </row>
    <row r="2" spans="1:2" ht="9" customHeight="1" x14ac:dyDescent="0.35"/>
    <row r="3" spans="1:2" ht="43.5" customHeight="1" x14ac:dyDescent="0.35">
      <c r="A3" s="914" t="s">
        <v>182</v>
      </c>
      <c r="B3" s="353" t="s">
        <v>254</v>
      </c>
    </row>
    <row r="4" spans="1:2" ht="54" customHeight="1" x14ac:dyDescent="0.35">
      <c r="A4" s="915"/>
      <c r="B4" s="274" t="s">
        <v>253</v>
      </c>
    </row>
    <row r="5" spans="1:2" ht="69" customHeight="1" x14ac:dyDescent="0.35">
      <c r="A5" s="916"/>
      <c r="B5" s="135" t="s">
        <v>255</v>
      </c>
    </row>
    <row r="6" spans="1:2" ht="14.25" customHeight="1" x14ac:dyDescent="0.35"/>
    <row r="7" spans="1:2" ht="31.5" customHeight="1" x14ac:dyDescent="0.35">
      <c r="A7" s="269" t="s">
        <v>151</v>
      </c>
      <c r="B7" s="120" t="s">
        <v>105</v>
      </c>
    </row>
    <row r="8" spans="1:2" ht="26.25" customHeight="1" x14ac:dyDescent="0.35">
      <c r="A8" s="83" t="s">
        <v>152</v>
      </c>
      <c r="B8" s="120" t="s">
        <v>106</v>
      </c>
    </row>
    <row r="10" spans="1:2" ht="37.5" customHeight="1" x14ac:dyDescent="0.35">
      <c r="A10" s="919" t="s">
        <v>159</v>
      </c>
      <c r="B10" s="124" t="s">
        <v>158</v>
      </c>
    </row>
    <row r="11" spans="1:2" ht="36" customHeight="1" x14ac:dyDescent="0.35">
      <c r="A11" s="920"/>
      <c r="B11" s="124" t="s">
        <v>256</v>
      </c>
    </row>
    <row r="12" spans="1:2" ht="54" customHeight="1" x14ac:dyDescent="0.35">
      <c r="A12" s="920"/>
      <c r="B12" s="263" t="s">
        <v>147</v>
      </c>
    </row>
    <row r="13" spans="1:2" ht="11.25" customHeight="1" x14ac:dyDescent="0.35">
      <c r="A13" s="920"/>
      <c r="B13" s="265"/>
    </row>
    <row r="14" spans="1:2" ht="26.25" customHeight="1" x14ac:dyDescent="0.35">
      <c r="A14" s="920"/>
      <c r="B14" s="264" t="s">
        <v>107</v>
      </c>
    </row>
    <row r="15" spans="1:2" ht="33.75" customHeight="1" x14ac:dyDescent="0.35">
      <c r="A15" s="920"/>
      <c r="B15" s="263" t="s">
        <v>160</v>
      </c>
    </row>
    <row r="16" spans="1:2" ht="18" customHeight="1" x14ac:dyDescent="0.35">
      <c r="A16" s="920"/>
      <c r="B16" s="263" t="s">
        <v>108</v>
      </c>
    </row>
    <row r="17" spans="1:4" ht="21.75" customHeight="1" x14ac:dyDescent="0.35">
      <c r="A17" s="920"/>
      <c r="B17" s="263" t="s">
        <v>161</v>
      </c>
      <c r="D17" s="268"/>
    </row>
    <row r="18" spans="1:4" ht="15" customHeight="1" x14ac:dyDescent="0.35">
      <c r="A18" s="920"/>
      <c r="B18" s="265"/>
      <c r="D18" s="268"/>
    </row>
    <row r="19" spans="1:4" ht="21.75" customHeight="1" x14ac:dyDescent="0.35">
      <c r="A19" s="920"/>
      <c r="B19" s="264" t="s">
        <v>109</v>
      </c>
      <c r="D19" s="268"/>
    </row>
    <row r="20" spans="1:4" ht="34.5" customHeight="1" x14ac:dyDescent="0.35">
      <c r="A20" s="920"/>
      <c r="B20" s="263" t="s">
        <v>162</v>
      </c>
    </row>
    <row r="21" spans="1:4" ht="39.75" customHeight="1" x14ac:dyDescent="0.35">
      <c r="A21" s="920"/>
      <c r="B21" s="263" t="s">
        <v>211</v>
      </c>
    </row>
    <row r="22" spans="1:4" ht="29.25" customHeight="1" x14ac:dyDescent="0.35">
      <c r="A22" s="920"/>
      <c r="B22" s="263" t="s">
        <v>163</v>
      </c>
    </row>
    <row r="24" spans="1:4" ht="3" customHeight="1" x14ac:dyDescent="0.35"/>
    <row r="25" spans="1:4" ht="49.5" customHeight="1" x14ac:dyDescent="0.35">
      <c r="A25" s="921" t="s">
        <v>110</v>
      </c>
      <c r="B25" s="122" t="s">
        <v>164</v>
      </c>
    </row>
    <row r="26" spans="1:4" ht="16.5" customHeight="1" x14ac:dyDescent="0.35">
      <c r="A26" s="921"/>
      <c r="B26" s="266"/>
    </row>
    <row r="27" spans="1:4" ht="36.75" customHeight="1" x14ac:dyDescent="0.35">
      <c r="A27" s="921"/>
      <c r="B27" s="122" t="s">
        <v>113</v>
      </c>
    </row>
    <row r="28" spans="1:4" ht="21" customHeight="1" x14ac:dyDescent="0.35">
      <c r="A28" s="921"/>
      <c r="B28" s="122" t="s">
        <v>153</v>
      </c>
    </row>
    <row r="29" spans="1:4" ht="21.75" customHeight="1" x14ac:dyDescent="0.35">
      <c r="A29" s="921"/>
      <c r="B29" s="122" t="s">
        <v>111</v>
      </c>
    </row>
    <row r="30" spans="1:4" ht="19.5" customHeight="1" x14ac:dyDescent="0.35">
      <c r="A30" s="921"/>
      <c r="B30" s="122" t="s">
        <v>165</v>
      </c>
    </row>
    <row r="31" spans="1:4" x14ac:dyDescent="0.35">
      <c r="B31" s="121"/>
    </row>
    <row r="32" spans="1:4" ht="36" customHeight="1" x14ac:dyDescent="0.35">
      <c r="A32" s="918" t="s">
        <v>112</v>
      </c>
      <c r="B32" s="123" t="s">
        <v>149</v>
      </c>
    </row>
    <row r="33" spans="1:2" ht="21" customHeight="1" x14ac:dyDescent="0.35">
      <c r="A33" s="918"/>
      <c r="B33" s="123" t="s">
        <v>130</v>
      </c>
    </row>
    <row r="34" spans="1:2" ht="15" customHeight="1" x14ac:dyDescent="0.35">
      <c r="A34" s="307"/>
    </row>
    <row r="35" spans="1:2" ht="50.25" customHeight="1" x14ac:dyDescent="0.35">
      <c r="A35" s="308" t="s">
        <v>212</v>
      </c>
      <c r="B35" s="309" t="s">
        <v>213</v>
      </c>
    </row>
    <row r="37" spans="1:2" ht="33.75" customHeight="1" x14ac:dyDescent="0.35">
      <c r="A37" s="917" t="s">
        <v>142</v>
      </c>
      <c r="B37" s="262" t="s">
        <v>143</v>
      </c>
    </row>
    <row r="38" spans="1:2" ht="54" customHeight="1" x14ac:dyDescent="0.35">
      <c r="A38" s="917"/>
      <c r="B38" s="262" t="s">
        <v>144</v>
      </c>
    </row>
    <row r="40" spans="1:2" ht="52.5" customHeight="1" x14ac:dyDescent="0.35">
      <c r="A40" s="288" t="s">
        <v>214</v>
      </c>
      <c r="B40" s="310" t="s">
        <v>215</v>
      </c>
    </row>
    <row r="42" spans="1:2" ht="48.75" customHeight="1" x14ac:dyDescent="0.35">
      <c r="A42" s="911" t="s">
        <v>238</v>
      </c>
      <c r="B42" s="314" t="s">
        <v>252</v>
      </c>
    </row>
    <row r="43" spans="1:2" ht="145" x14ac:dyDescent="0.35">
      <c r="A43" s="912"/>
      <c r="B43" s="314" t="s">
        <v>239</v>
      </c>
    </row>
    <row r="44" spans="1:2" ht="51" customHeight="1" x14ac:dyDescent="0.35">
      <c r="A44" s="913"/>
      <c r="B44" s="314" t="s">
        <v>240</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FF89"/>
  </sheetPr>
  <dimension ref="A1:AI41"/>
  <sheetViews>
    <sheetView showGridLines="0" zoomScale="85" zoomScaleNormal="85" workbookViewId="0">
      <pane xSplit="1" ySplit="4" topLeftCell="B19" activePane="bottomRight" state="frozen"/>
      <selection pane="topRight" activeCell="B1" sqref="B1"/>
      <selection pane="bottomLeft" activeCell="A5" sqref="A5"/>
      <selection pane="bottomRight" activeCell="A27" sqref="A27"/>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22" t="s">
        <v>148</v>
      </c>
    </row>
    <row r="2" spans="1:35" ht="8.25" customHeight="1" x14ac:dyDescent="0.35"/>
    <row r="3" spans="1:35" s="228" customFormat="1" ht="23.25" customHeight="1" x14ac:dyDescent="0.35">
      <c r="A3" s="224"/>
      <c r="B3" s="225"/>
      <c r="C3" s="226">
        <f>'1. Projekti elluviimise kulud'!D2</f>
        <v>2023</v>
      </c>
      <c r="D3" s="226">
        <f>C3+1</f>
        <v>2024</v>
      </c>
      <c r="E3" s="226">
        <f t="shared" ref="E3:O3" si="0">D3+1</f>
        <v>2025</v>
      </c>
      <c r="F3" s="226">
        <f t="shared" si="0"/>
        <v>2026</v>
      </c>
      <c r="G3" s="226">
        <f t="shared" si="0"/>
        <v>2027</v>
      </c>
      <c r="H3" s="226">
        <f t="shared" si="0"/>
        <v>2028</v>
      </c>
      <c r="I3" s="226">
        <f t="shared" si="0"/>
        <v>2029</v>
      </c>
      <c r="J3" s="226">
        <f t="shared" si="0"/>
        <v>2030</v>
      </c>
      <c r="K3" s="226">
        <f t="shared" si="0"/>
        <v>2031</v>
      </c>
      <c r="L3" s="226">
        <f t="shared" si="0"/>
        <v>2032</v>
      </c>
      <c r="M3" s="226">
        <f t="shared" si="0"/>
        <v>2033</v>
      </c>
      <c r="N3" s="226">
        <f t="shared" si="0"/>
        <v>2034</v>
      </c>
      <c r="O3" s="226">
        <f t="shared" si="0"/>
        <v>2035</v>
      </c>
      <c r="P3" s="226">
        <f t="shared" ref="P3" si="1">O3+1</f>
        <v>2036</v>
      </c>
      <c r="Q3" s="226">
        <f t="shared" ref="Q3" si="2">P3+1</f>
        <v>2037</v>
      </c>
      <c r="R3" s="227"/>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74"/>
      <c r="D4" s="74"/>
      <c r="E4" s="74"/>
      <c r="F4" s="74"/>
      <c r="G4" s="74"/>
      <c r="H4" s="74"/>
      <c r="I4" s="74"/>
      <c r="J4" s="74"/>
      <c r="K4" s="74"/>
      <c r="L4" s="74"/>
      <c r="M4" s="74"/>
      <c r="N4" s="74"/>
      <c r="O4" s="74"/>
      <c r="P4" s="74"/>
      <c r="Q4" s="134"/>
    </row>
    <row r="5" spans="1:35" ht="20.25" customHeight="1" x14ac:dyDescent="0.35">
      <c r="A5" s="224" t="s">
        <v>131</v>
      </c>
      <c r="B5" s="225"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43" customHeight="1" x14ac:dyDescent="0.35">
      <c r="A7" s="1069" t="s">
        <v>648</v>
      </c>
      <c r="B7" s="233" t="s">
        <v>3</v>
      </c>
      <c r="C7" s="234"/>
      <c r="D7" s="234">
        <f>'5. Abikõlblik kulu'!C19</f>
        <v>8463724.9976799991</v>
      </c>
      <c r="E7" s="234"/>
      <c r="F7" s="234"/>
      <c r="G7" s="234"/>
      <c r="H7" s="234"/>
      <c r="I7" s="234"/>
      <c r="J7" s="234"/>
      <c r="K7" s="234"/>
      <c r="L7" s="234"/>
      <c r="M7" s="234"/>
      <c r="N7" s="234"/>
      <c r="O7" s="234"/>
      <c r="P7" s="234"/>
      <c r="Q7" s="234"/>
    </row>
    <row r="8" spans="1:35" s="235" customFormat="1" ht="42.5" customHeight="1" x14ac:dyDescent="0.35">
      <c r="A8" s="1070" t="s">
        <v>649</v>
      </c>
      <c r="B8" s="233" t="s">
        <v>3</v>
      </c>
      <c r="C8" s="234"/>
      <c r="D8" s="234">
        <v>50217</v>
      </c>
      <c r="E8" s="234">
        <v>72897</v>
      </c>
      <c r="F8" s="234">
        <v>76633</v>
      </c>
      <c r="G8" s="234">
        <v>80540</v>
      </c>
      <c r="H8" s="234">
        <v>80540</v>
      </c>
      <c r="I8" s="234">
        <v>53693</v>
      </c>
      <c r="J8" s="234"/>
      <c r="K8" s="234"/>
      <c r="L8" s="234"/>
      <c r="M8" s="234"/>
      <c r="N8" s="234"/>
      <c r="O8" s="234"/>
      <c r="P8" s="234"/>
      <c r="Q8" s="234"/>
    </row>
    <row r="9" spans="1:35" s="235" customFormat="1" ht="16.5" hidden="1" customHeight="1" x14ac:dyDescent="0.35">
      <c r="A9" s="232" t="s">
        <v>150</v>
      </c>
      <c r="B9" s="233" t="s">
        <v>3</v>
      </c>
      <c r="C9" s="234"/>
      <c r="D9" s="234"/>
      <c r="E9" s="234"/>
      <c r="F9" s="234"/>
      <c r="G9" s="234"/>
      <c r="H9" s="234"/>
      <c r="I9" s="234"/>
      <c r="J9" s="234"/>
      <c r="K9" s="234"/>
      <c r="L9" s="234"/>
      <c r="M9" s="234"/>
      <c r="N9" s="234"/>
      <c r="O9" s="234"/>
      <c r="P9" s="234"/>
      <c r="Q9" s="234"/>
    </row>
    <row r="10" spans="1:35" s="235" customFormat="1" ht="16.5" hidden="1" customHeight="1" x14ac:dyDescent="0.35">
      <c r="A10" s="232" t="s">
        <v>150</v>
      </c>
      <c r="B10" s="233" t="s">
        <v>3</v>
      </c>
      <c r="C10" s="234"/>
      <c r="D10" s="234"/>
      <c r="E10" s="234"/>
      <c r="F10" s="234"/>
      <c r="G10" s="234"/>
      <c r="H10" s="234"/>
      <c r="I10" s="234"/>
      <c r="J10" s="234"/>
      <c r="K10" s="234"/>
      <c r="L10" s="234"/>
      <c r="M10" s="234"/>
      <c r="N10" s="234"/>
      <c r="O10" s="234"/>
      <c r="P10" s="234"/>
      <c r="Q10" s="234"/>
    </row>
    <row r="11" spans="1:35" s="235" customFormat="1" ht="16.5" hidden="1" customHeight="1" x14ac:dyDescent="0.35">
      <c r="A11" s="232" t="s">
        <v>150</v>
      </c>
      <c r="B11" s="233" t="s">
        <v>3</v>
      </c>
      <c r="C11" s="234"/>
      <c r="D11" s="234"/>
      <c r="E11" s="234"/>
      <c r="F11" s="234"/>
      <c r="G11" s="234"/>
      <c r="H11" s="234"/>
      <c r="I11" s="234"/>
      <c r="J11" s="234"/>
      <c r="K11" s="234"/>
      <c r="L11" s="234"/>
      <c r="M11" s="234"/>
      <c r="N11" s="234"/>
      <c r="O11" s="234"/>
      <c r="P11" s="234"/>
      <c r="Q11" s="234"/>
    </row>
    <row r="12" spans="1:35" s="235" customFormat="1" ht="16.5" hidden="1" customHeight="1" x14ac:dyDescent="0.35">
      <c r="A12" s="232" t="s">
        <v>150</v>
      </c>
      <c r="B12" s="233" t="s">
        <v>3</v>
      </c>
      <c r="C12" s="234"/>
      <c r="D12" s="234"/>
      <c r="E12" s="234"/>
      <c r="F12" s="234"/>
      <c r="G12" s="234"/>
      <c r="H12" s="234"/>
      <c r="I12" s="234"/>
      <c r="J12" s="234"/>
      <c r="K12" s="234"/>
      <c r="L12" s="234"/>
      <c r="M12" s="234"/>
      <c r="N12" s="234"/>
      <c r="O12" s="234"/>
      <c r="P12" s="234"/>
      <c r="Q12" s="234"/>
    </row>
    <row r="13" spans="1:35" ht="16.5" customHeight="1" x14ac:dyDescent="0.35">
      <c r="A13" s="232" t="s">
        <v>132</v>
      </c>
      <c r="B13" s="233" t="s">
        <v>3</v>
      </c>
      <c r="C13" s="236">
        <f>'2. Tulud-kulud projektiga'!D53</f>
        <v>0</v>
      </c>
      <c r="D13" s="236">
        <f>'2. Tulud-kulud projektiga'!E53</f>
        <v>0</v>
      </c>
      <c r="E13" s="236">
        <f>'2. Tulud-kulud projektiga'!F53</f>
        <v>262569.23204800009</v>
      </c>
      <c r="F13" s="236">
        <f>'2. Tulud-kulud projektiga'!G53</f>
        <v>262569.23204800009</v>
      </c>
      <c r="G13" s="236">
        <f>'2. Tulud-kulud projektiga'!H53</f>
        <v>262569.23204800009</v>
      </c>
      <c r="H13" s="236">
        <f>'2. Tulud-kulud projektiga'!I53</f>
        <v>262569.23204800009</v>
      </c>
      <c r="I13" s="236">
        <f>'2. Tulud-kulud projektiga'!J53</f>
        <v>262569.23204800009</v>
      </c>
      <c r="J13" s="236">
        <f>'2. Tulud-kulud projektiga'!K53</f>
        <v>262569.23204800009</v>
      </c>
      <c r="K13" s="236">
        <f>'2. Tulud-kulud projektiga'!L53</f>
        <v>262569.23204800009</v>
      </c>
      <c r="L13" s="236">
        <f>'2. Tulud-kulud projektiga'!M53</f>
        <v>262569.23204800009</v>
      </c>
      <c r="M13" s="236">
        <f>'2. Tulud-kulud projektiga'!N53</f>
        <v>262569.23204800009</v>
      </c>
      <c r="N13" s="236">
        <f>'2. Tulud-kulud projektiga'!O53</f>
        <v>262569.23204800009</v>
      </c>
      <c r="O13" s="236">
        <f>'2. Tulud-kulud projektiga'!P53</f>
        <v>262569.23204800009</v>
      </c>
      <c r="P13" s="236">
        <f>'2. Tulud-kulud projektiga'!Q53</f>
        <v>262569.23204800009</v>
      </c>
      <c r="Q13" s="236">
        <f>'2. Tulud-kulud projektiga'!R53</f>
        <v>262569.23204800009</v>
      </c>
    </row>
    <row r="14" spans="1:35" ht="16.5" hidden="1" customHeight="1" x14ac:dyDescent="0.35">
      <c r="A14" s="232" t="s">
        <v>189</v>
      </c>
      <c r="B14" s="233" t="s">
        <v>3</v>
      </c>
      <c r="C14" s="11"/>
      <c r="D14" s="11"/>
      <c r="E14" s="11"/>
      <c r="F14" s="11"/>
      <c r="G14" s="11"/>
      <c r="H14" s="11"/>
      <c r="I14" s="11"/>
      <c r="J14" s="11"/>
      <c r="K14" s="11"/>
      <c r="L14" s="11"/>
      <c r="M14" s="11"/>
      <c r="N14" s="11"/>
      <c r="O14" s="11"/>
      <c r="P14" s="11"/>
      <c r="Q14" s="11"/>
    </row>
    <row r="15" spans="1:35" ht="16.5" customHeight="1" x14ac:dyDescent="0.35">
      <c r="A15" s="232" t="s">
        <v>650</v>
      </c>
      <c r="B15" s="233" t="s">
        <v>3</v>
      </c>
      <c r="C15" s="11"/>
      <c r="D15" s="11">
        <v>8890</v>
      </c>
      <c r="E15" s="11"/>
      <c r="F15" s="11"/>
      <c r="G15" s="11"/>
      <c r="H15" s="11"/>
      <c r="I15" s="11"/>
      <c r="J15" s="11"/>
      <c r="K15" s="11"/>
      <c r="L15" s="11"/>
      <c r="M15" s="11"/>
      <c r="N15" s="11"/>
      <c r="O15" s="11"/>
      <c r="P15" s="11"/>
      <c r="Q15" s="11"/>
    </row>
    <row r="16" spans="1:35" ht="16.5" hidden="1" customHeight="1" x14ac:dyDescent="0.35">
      <c r="A16" s="232" t="s">
        <v>133</v>
      </c>
      <c r="B16" s="233" t="s">
        <v>3</v>
      </c>
      <c r="C16" s="11"/>
      <c r="D16" s="11"/>
      <c r="E16" s="11"/>
      <c r="F16" s="11"/>
      <c r="G16" s="11"/>
      <c r="H16" s="11"/>
      <c r="I16" s="11"/>
      <c r="J16" s="11"/>
      <c r="K16" s="11"/>
      <c r="L16" s="11"/>
      <c r="M16" s="11"/>
      <c r="N16" s="11"/>
      <c r="O16" s="11"/>
      <c r="P16" s="11"/>
      <c r="Q16" s="11"/>
    </row>
    <row r="17" spans="1:35" ht="16.5" hidden="1" customHeight="1" x14ac:dyDescent="0.35">
      <c r="A17" s="232"/>
      <c r="B17" s="233" t="s">
        <v>3</v>
      </c>
      <c r="C17" s="11"/>
      <c r="D17" s="11"/>
      <c r="E17" s="11"/>
      <c r="F17" s="11"/>
      <c r="G17" s="11"/>
      <c r="H17" s="11"/>
      <c r="I17" s="11"/>
      <c r="J17" s="11"/>
      <c r="K17" s="11"/>
      <c r="L17" s="11"/>
      <c r="M17" s="11"/>
      <c r="N17" s="11"/>
      <c r="O17" s="11"/>
      <c r="P17" s="11"/>
      <c r="Q17" s="11"/>
    </row>
    <row r="18" spans="1:35" ht="16.5" hidden="1" customHeight="1" x14ac:dyDescent="0.35">
      <c r="A18" s="232"/>
      <c r="B18" s="233" t="s">
        <v>3</v>
      </c>
      <c r="C18" s="11"/>
      <c r="D18" s="11"/>
      <c r="E18" s="11"/>
      <c r="F18" s="11"/>
      <c r="G18" s="11"/>
      <c r="H18" s="11"/>
      <c r="I18" s="11"/>
      <c r="J18" s="11"/>
      <c r="K18" s="11"/>
      <c r="L18" s="11"/>
      <c r="M18" s="11"/>
      <c r="N18" s="11"/>
      <c r="O18" s="11"/>
      <c r="P18" s="11"/>
      <c r="Q18" s="11"/>
    </row>
    <row r="19" spans="1:35" ht="4.5" customHeight="1" x14ac:dyDescent="0.35">
      <c r="A19" s="229"/>
      <c r="B19" s="237"/>
      <c r="C19" s="18"/>
      <c r="D19" s="18"/>
      <c r="E19" s="18"/>
      <c r="F19" s="18"/>
      <c r="G19" s="18"/>
      <c r="H19" s="18"/>
      <c r="I19" s="18"/>
      <c r="J19" s="18"/>
      <c r="K19" s="18"/>
      <c r="L19" s="18"/>
      <c r="M19" s="18"/>
      <c r="N19" s="18"/>
      <c r="O19" s="18"/>
      <c r="P19" s="18"/>
      <c r="Q19" s="19"/>
    </row>
    <row r="20" spans="1:35" s="241" customFormat="1" ht="22.5" customHeight="1" x14ac:dyDescent="0.35">
      <c r="A20" s="238" t="s">
        <v>134</v>
      </c>
      <c r="B20" s="239" t="s">
        <v>3</v>
      </c>
      <c r="C20" s="240">
        <f t="shared" ref="C20:P20" si="3">SUM(C7:C18)</f>
        <v>0</v>
      </c>
      <c r="D20" s="240">
        <f t="shared" si="3"/>
        <v>8522831.9976799991</v>
      </c>
      <c r="E20" s="240">
        <f t="shared" si="3"/>
        <v>335466.23204800009</v>
      </c>
      <c r="F20" s="240">
        <f t="shared" si="3"/>
        <v>339202.23204800009</v>
      </c>
      <c r="G20" s="240">
        <f t="shared" si="3"/>
        <v>343109.23204800009</v>
      </c>
      <c r="H20" s="240">
        <f t="shared" si="3"/>
        <v>343109.23204800009</v>
      </c>
      <c r="I20" s="240">
        <f t="shared" si="3"/>
        <v>316262.23204800009</v>
      </c>
      <c r="J20" s="240">
        <f t="shared" si="3"/>
        <v>262569.23204800009</v>
      </c>
      <c r="K20" s="240">
        <f t="shared" si="3"/>
        <v>262569.23204800009</v>
      </c>
      <c r="L20" s="240">
        <f t="shared" si="3"/>
        <v>262569.23204800009</v>
      </c>
      <c r="M20" s="240">
        <f t="shared" si="3"/>
        <v>262569.23204800009</v>
      </c>
      <c r="N20" s="240">
        <f t="shared" si="3"/>
        <v>262569.23204800009</v>
      </c>
      <c r="O20" s="240">
        <f t="shared" si="3"/>
        <v>262569.23204800009</v>
      </c>
      <c r="P20" s="240">
        <f t="shared" si="3"/>
        <v>262569.23204800009</v>
      </c>
      <c r="Q20" s="240">
        <f t="shared" ref="Q20" si="4">SUM(Q7:Q18)</f>
        <v>262569.23204800009</v>
      </c>
      <c r="R20" s="3"/>
      <c r="S20" s="3"/>
      <c r="T20" s="3"/>
      <c r="U20" s="3"/>
      <c r="V20" s="3"/>
      <c r="W20" s="3"/>
      <c r="X20" s="3"/>
      <c r="Y20" s="3"/>
      <c r="Z20" s="3"/>
      <c r="AA20" s="3"/>
      <c r="AB20" s="3"/>
      <c r="AC20" s="3"/>
      <c r="AD20" s="3"/>
      <c r="AE20" s="3"/>
      <c r="AF20" s="3"/>
      <c r="AG20" s="3"/>
      <c r="AH20" s="3"/>
      <c r="AI20" s="3"/>
    </row>
    <row r="21" spans="1:35" s="241" customFormat="1" ht="4.5" customHeight="1" x14ac:dyDescent="0.35">
      <c r="A21" s="242"/>
      <c r="B21" s="237"/>
      <c r="C21" s="243"/>
      <c r="D21" s="243"/>
      <c r="E21" s="243"/>
      <c r="F21" s="243"/>
      <c r="G21" s="243"/>
      <c r="H21" s="243"/>
      <c r="I21" s="243"/>
      <c r="J21" s="243"/>
      <c r="K21" s="243"/>
      <c r="L21" s="243"/>
      <c r="M21" s="243"/>
      <c r="N21" s="243"/>
      <c r="O21" s="243"/>
      <c r="P21" s="243"/>
      <c r="Q21" s="244"/>
      <c r="R21" s="3"/>
      <c r="S21" s="3"/>
      <c r="T21" s="3"/>
      <c r="U21" s="3"/>
      <c r="V21" s="3"/>
      <c r="W21" s="3"/>
      <c r="X21" s="3"/>
      <c r="Y21" s="3"/>
      <c r="Z21" s="3"/>
      <c r="AA21" s="3"/>
      <c r="AB21" s="3"/>
      <c r="AC21" s="3"/>
      <c r="AD21" s="3"/>
      <c r="AE21" s="3"/>
      <c r="AF21" s="3"/>
      <c r="AG21" s="3"/>
      <c r="AH21" s="3"/>
      <c r="AI21" s="3"/>
    </row>
    <row r="22" spans="1:35" ht="20.25" customHeight="1" x14ac:dyDescent="0.35">
      <c r="A22" s="245"/>
      <c r="B22" s="246"/>
      <c r="C22" s="247"/>
      <c r="D22" s="247"/>
      <c r="E22" s="247"/>
      <c r="F22" s="247"/>
      <c r="G22" s="247"/>
      <c r="H22" s="247"/>
      <c r="I22" s="247"/>
      <c r="J22" s="247"/>
      <c r="K22" s="247"/>
      <c r="L22" s="247"/>
      <c r="M22" s="247"/>
      <c r="N22" s="247"/>
      <c r="O22" s="247"/>
      <c r="P22" s="247"/>
      <c r="Q22" s="247"/>
    </row>
    <row r="23" spans="1:35" ht="20.25" customHeight="1" x14ac:dyDescent="0.35">
      <c r="A23" s="224" t="s">
        <v>135</v>
      </c>
      <c r="B23" s="248"/>
      <c r="C23" s="11"/>
      <c r="D23" s="11"/>
      <c r="E23" s="11"/>
      <c r="F23" s="11"/>
      <c r="G23" s="11"/>
      <c r="H23" s="11"/>
      <c r="I23" s="11"/>
      <c r="J23" s="11"/>
      <c r="K23" s="11"/>
      <c r="L23" s="11"/>
      <c r="M23" s="11"/>
      <c r="N23" s="11"/>
      <c r="O23" s="11"/>
      <c r="P23" s="11"/>
      <c r="Q23" s="11"/>
    </row>
    <row r="24" spans="1:35" ht="4.5" customHeight="1" x14ac:dyDescent="0.35">
      <c r="A24" s="231"/>
      <c r="B24" s="237"/>
      <c r="C24" s="18"/>
      <c r="D24" s="18"/>
      <c r="E24" s="18"/>
      <c r="F24" s="18"/>
      <c r="G24" s="18"/>
      <c r="H24" s="18"/>
      <c r="I24" s="18"/>
      <c r="J24" s="18"/>
      <c r="K24" s="18"/>
      <c r="L24" s="18"/>
      <c r="M24" s="18"/>
      <c r="N24" s="18"/>
      <c r="O24" s="18"/>
      <c r="P24" s="18"/>
      <c r="Q24" s="19"/>
    </row>
    <row r="25" spans="1:35" ht="16.5" customHeight="1" x14ac:dyDescent="0.35">
      <c r="A25" s="232" t="s">
        <v>145</v>
      </c>
      <c r="B25" s="233" t="s">
        <v>3</v>
      </c>
      <c r="C25" s="236">
        <f>'1. Projekti elluviimise kulud'!D19</f>
        <v>0</v>
      </c>
      <c r="D25" s="236">
        <f>'1. Projekti elluviimise kulud'!E19</f>
        <v>8463724.9976799991</v>
      </c>
      <c r="E25" s="236">
        <f>'1. Projekti elluviimise kulud'!F19</f>
        <v>0</v>
      </c>
      <c r="F25" s="236">
        <f>'1. Projekti elluviimise kulud'!G19</f>
        <v>0</v>
      </c>
      <c r="G25" s="236">
        <f>'1. Projekti elluviimise kulud'!H19</f>
        <v>0</v>
      </c>
      <c r="H25" s="236">
        <f>'1. Projekti elluviimise kulud'!I19</f>
        <v>0</v>
      </c>
      <c r="I25" s="249"/>
      <c r="J25" s="249"/>
      <c r="K25" s="249"/>
      <c r="L25" s="249"/>
      <c r="M25" s="249"/>
      <c r="N25" s="249"/>
      <c r="O25" s="249"/>
      <c r="P25" s="249"/>
      <c r="Q25" s="249"/>
    </row>
    <row r="26" spans="1:35" ht="16.5" customHeight="1" x14ac:dyDescent="0.35">
      <c r="A26" s="232" t="s">
        <v>146</v>
      </c>
      <c r="B26" s="233" t="s">
        <v>3</v>
      </c>
      <c r="C26" s="236">
        <f>'2. Tulud-kulud projektiga'!D118</f>
        <v>0</v>
      </c>
      <c r="D26" s="236">
        <f>'2. Tulud-kulud projektiga'!E118</f>
        <v>59106.15</v>
      </c>
      <c r="E26" s="236">
        <f>'2. Tulud-kulud projektiga'!F118</f>
        <v>264721.55363368004</v>
      </c>
      <c r="F26" s="236">
        <f>'2. Tulud-kulud projektiga'!G118</f>
        <v>269351.70263368002</v>
      </c>
      <c r="G26" s="236">
        <f>'2. Tulud-kulud projektiga'!H118</f>
        <v>273253.31063368003</v>
      </c>
      <c r="H26" s="236">
        <f>'2. Tulud-kulud projektiga'!I118</f>
        <v>274186.86668368004</v>
      </c>
      <c r="I26" s="236">
        <f>'2. Tulud-kulud projektiga'!J118</f>
        <v>274186.86668368004</v>
      </c>
      <c r="J26" s="236">
        <f>'2. Tulud-kulud projektiga'!K118</f>
        <v>274186.86668368004</v>
      </c>
      <c r="K26" s="236">
        <f>'2. Tulud-kulud projektiga'!L118</f>
        <v>274186.86668368004</v>
      </c>
      <c r="L26" s="236">
        <f>'2. Tulud-kulud projektiga'!M118</f>
        <v>274186.86668368004</v>
      </c>
      <c r="M26" s="236">
        <f>'2. Tulud-kulud projektiga'!N118</f>
        <v>274186.86668368004</v>
      </c>
      <c r="N26" s="236">
        <f>'2. Tulud-kulud projektiga'!O118</f>
        <v>274186.86668368004</v>
      </c>
      <c r="O26" s="236">
        <f>'2. Tulud-kulud projektiga'!P118</f>
        <v>274186.86668368004</v>
      </c>
      <c r="P26" s="236">
        <f>'2. Tulud-kulud projektiga'!Q118</f>
        <v>274186.86668368004</v>
      </c>
      <c r="Q26" s="236">
        <f>'2. Tulud-kulud projektiga'!R118</f>
        <v>274186.86668368004</v>
      </c>
    </row>
    <row r="27" spans="1:35" ht="16.5" customHeight="1" x14ac:dyDescent="0.35">
      <c r="A27" s="232" t="s">
        <v>651</v>
      </c>
      <c r="B27" s="233" t="s">
        <v>3</v>
      </c>
      <c r="C27" s="11"/>
      <c r="D27" s="11"/>
      <c r="E27" s="11">
        <f>D15</f>
        <v>8890</v>
      </c>
      <c r="F27" s="11"/>
      <c r="G27" s="11"/>
      <c r="H27" s="11"/>
      <c r="I27" s="11"/>
      <c r="J27" s="11"/>
      <c r="K27" s="11"/>
      <c r="L27" s="11"/>
      <c r="M27" s="11"/>
      <c r="N27" s="11"/>
      <c r="O27" s="11"/>
      <c r="P27" s="11"/>
      <c r="Q27" s="11"/>
    </row>
    <row r="28" spans="1:35" ht="16.5" hidden="1" customHeight="1" x14ac:dyDescent="0.35">
      <c r="A28" s="232" t="s">
        <v>136</v>
      </c>
      <c r="B28" s="233" t="s">
        <v>3</v>
      </c>
      <c r="C28" s="11"/>
      <c r="D28" s="11"/>
      <c r="E28" s="11"/>
      <c r="F28" s="11"/>
      <c r="G28" s="11"/>
      <c r="H28" s="11"/>
      <c r="I28" s="11"/>
      <c r="J28" s="11"/>
      <c r="K28" s="11"/>
      <c r="L28" s="11"/>
      <c r="M28" s="11"/>
      <c r="N28" s="11"/>
      <c r="O28" s="11"/>
      <c r="P28" s="11"/>
      <c r="Q28" s="11"/>
    </row>
    <row r="29" spans="1:35" ht="16.5" hidden="1" customHeight="1" x14ac:dyDescent="0.35">
      <c r="A29" s="232" t="s">
        <v>137</v>
      </c>
      <c r="B29" s="233" t="s">
        <v>3</v>
      </c>
      <c r="C29" s="11"/>
      <c r="D29" s="11"/>
      <c r="E29" s="11"/>
      <c r="F29" s="11"/>
      <c r="G29" s="11"/>
      <c r="H29" s="11"/>
      <c r="I29" s="11"/>
      <c r="J29" s="11"/>
      <c r="K29" s="11"/>
      <c r="L29" s="11"/>
      <c r="M29" s="11"/>
      <c r="N29" s="11"/>
      <c r="O29" s="11"/>
      <c r="P29" s="11"/>
      <c r="Q29" s="11"/>
    </row>
    <row r="30" spans="1:35" ht="16.5" hidden="1" customHeight="1" x14ac:dyDescent="0.35">
      <c r="A30" s="232"/>
      <c r="B30" s="233" t="s">
        <v>3</v>
      </c>
      <c r="C30" s="11"/>
      <c r="D30" s="11"/>
      <c r="E30" s="11"/>
      <c r="F30" s="11"/>
      <c r="G30" s="11"/>
      <c r="H30" s="11"/>
      <c r="I30" s="11"/>
      <c r="J30" s="11"/>
      <c r="K30" s="11"/>
      <c r="L30" s="11"/>
      <c r="M30" s="11"/>
      <c r="N30" s="11"/>
      <c r="O30" s="11"/>
      <c r="P30" s="11"/>
      <c r="Q30" s="11"/>
    </row>
    <row r="31" spans="1:35" ht="16.5" hidden="1" customHeight="1" x14ac:dyDescent="0.35">
      <c r="A31" s="232"/>
      <c r="B31" s="233" t="s">
        <v>3</v>
      </c>
      <c r="C31" s="11"/>
      <c r="D31" s="11"/>
      <c r="E31" s="11"/>
      <c r="F31" s="11"/>
      <c r="G31" s="11"/>
      <c r="H31" s="11"/>
      <c r="I31" s="11"/>
      <c r="J31" s="11"/>
      <c r="K31" s="11"/>
      <c r="L31" s="11"/>
      <c r="M31" s="11"/>
      <c r="N31" s="11"/>
      <c r="O31" s="11"/>
      <c r="P31" s="11"/>
      <c r="Q31" s="11"/>
    </row>
    <row r="32" spans="1:35" ht="4.5" customHeight="1" x14ac:dyDescent="0.35">
      <c r="A32" s="250"/>
      <c r="B32" s="251"/>
      <c r="C32" s="249"/>
      <c r="D32" s="249"/>
      <c r="E32" s="249"/>
      <c r="F32" s="249"/>
      <c r="G32" s="249"/>
      <c r="H32" s="249"/>
      <c r="I32" s="249"/>
      <c r="J32" s="249"/>
      <c r="K32" s="249"/>
      <c r="L32" s="249"/>
      <c r="M32" s="249"/>
      <c r="N32" s="249"/>
      <c r="O32" s="249"/>
      <c r="P32" s="249"/>
      <c r="Q32" s="249"/>
    </row>
    <row r="33" spans="1:35" s="241" customFormat="1" ht="22.5" customHeight="1" x14ac:dyDescent="0.35">
      <c r="A33" s="238" t="s">
        <v>138</v>
      </c>
      <c r="B33" s="239" t="s">
        <v>3</v>
      </c>
      <c r="C33" s="240">
        <f t="shared" ref="C33:P33" si="5">SUM(C25:C31)</f>
        <v>0</v>
      </c>
      <c r="D33" s="240">
        <f t="shared" si="5"/>
        <v>8522831.1476799995</v>
      </c>
      <c r="E33" s="240">
        <f t="shared" si="5"/>
        <v>273611.55363368004</v>
      </c>
      <c r="F33" s="240">
        <f t="shared" si="5"/>
        <v>269351.70263368002</v>
      </c>
      <c r="G33" s="240">
        <f t="shared" si="5"/>
        <v>273253.31063368003</v>
      </c>
      <c r="H33" s="240">
        <f t="shared" si="5"/>
        <v>274186.86668368004</v>
      </c>
      <c r="I33" s="240">
        <f t="shared" si="5"/>
        <v>274186.86668368004</v>
      </c>
      <c r="J33" s="240">
        <f t="shared" si="5"/>
        <v>274186.86668368004</v>
      </c>
      <c r="K33" s="240">
        <f t="shared" si="5"/>
        <v>274186.86668368004</v>
      </c>
      <c r="L33" s="240">
        <f t="shared" si="5"/>
        <v>274186.86668368004</v>
      </c>
      <c r="M33" s="240">
        <f t="shared" si="5"/>
        <v>274186.86668368004</v>
      </c>
      <c r="N33" s="240">
        <f t="shared" si="5"/>
        <v>274186.86668368004</v>
      </c>
      <c r="O33" s="240">
        <f t="shared" si="5"/>
        <v>274186.86668368004</v>
      </c>
      <c r="P33" s="240">
        <f t="shared" si="5"/>
        <v>274186.86668368004</v>
      </c>
      <c r="Q33" s="240">
        <f t="shared" ref="Q33" si="6">SUM(Q25:Q31)</f>
        <v>274186.86668368004</v>
      </c>
      <c r="R33" s="3"/>
      <c r="S33" s="3"/>
      <c r="T33" s="3"/>
      <c r="U33" s="3"/>
      <c r="V33" s="3"/>
      <c r="W33" s="3"/>
      <c r="X33" s="3"/>
      <c r="Y33" s="3"/>
      <c r="Z33" s="3"/>
      <c r="AA33" s="3"/>
      <c r="AB33" s="3"/>
      <c r="AC33" s="3"/>
      <c r="AD33" s="3"/>
      <c r="AE33" s="3"/>
      <c r="AF33" s="3"/>
      <c r="AG33" s="3"/>
      <c r="AH33" s="3"/>
      <c r="AI33" s="3"/>
    </row>
    <row r="34" spans="1:35" s="241" customFormat="1" ht="4.5" customHeight="1" x14ac:dyDescent="0.35">
      <c r="A34" s="242"/>
      <c r="B34" s="237"/>
      <c r="C34" s="243"/>
      <c r="D34" s="243"/>
      <c r="E34" s="243"/>
      <c r="F34" s="243"/>
      <c r="G34" s="243"/>
      <c r="H34" s="243"/>
      <c r="I34" s="243"/>
      <c r="J34" s="243"/>
      <c r="K34" s="243"/>
      <c r="L34" s="243"/>
      <c r="M34" s="243"/>
      <c r="N34" s="243"/>
      <c r="O34" s="243"/>
      <c r="P34" s="243"/>
      <c r="Q34" s="244"/>
      <c r="R34" s="3"/>
      <c r="S34" s="3"/>
      <c r="T34" s="3"/>
      <c r="U34" s="3"/>
      <c r="V34" s="3"/>
      <c r="W34" s="3"/>
      <c r="X34" s="3"/>
      <c r="Y34" s="3"/>
      <c r="Z34" s="3"/>
      <c r="AA34" s="3"/>
      <c r="AB34" s="3"/>
      <c r="AC34" s="3"/>
      <c r="AD34" s="3"/>
      <c r="AE34" s="3"/>
      <c r="AF34" s="3"/>
      <c r="AG34" s="3"/>
      <c r="AH34" s="3"/>
      <c r="AI34" s="3"/>
    </row>
    <row r="35" spans="1:35" s="241" customFormat="1" ht="18.75" customHeight="1" x14ac:dyDescent="0.35">
      <c r="A35" s="252"/>
      <c r="B35" s="246"/>
      <c r="C35" s="253"/>
      <c r="D35" s="253"/>
      <c r="E35" s="253"/>
      <c r="F35" s="253"/>
      <c r="G35" s="253"/>
      <c r="H35" s="253"/>
      <c r="I35" s="253"/>
      <c r="J35" s="253"/>
      <c r="K35" s="253"/>
      <c r="L35" s="253"/>
      <c r="M35" s="253"/>
      <c r="N35" s="253"/>
      <c r="O35" s="253"/>
      <c r="P35" s="253"/>
      <c r="Q35" s="267"/>
      <c r="R35" s="3"/>
      <c r="S35" s="3"/>
      <c r="T35" s="3"/>
      <c r="U35" s="3"/>
      <c r="V35" s="3"/>
      <c r="W35" s="3"/>
      <c r="X35" s="3"/>
      <c r="Y35" s="3"/>
      <c r="Z35" s="3"/>
      <c r="AA35" s="3"/>
      <c r="AB35" s="3"/>
      <c r="AC35" s="3"/>
      <c r="AD35" s="3"/>
      <c r="AE35" s="3"/>
      <c r="AF35" s="3"/>
      <c r="AG35" s="3"/>
      <c r="AH35" s="3"/>
      <c r="AI35" s="3"/>
    </row>
    <row r="36" spans="1:35" s="257" customFormat="1" ht="18" customHeight="1" x14ac:dyDescent="0.35">
      <c r="A36" s="254" t="s">
        <v>139</v>
      </c>
      <c r="B36" s="239" t="s">
        <v>3</v>
      </c>
      <c r="C36" s="255">
        <f t="shared" ref="C36:P36" si="7">C20-C33</f>
        <v>0</v>
      </c>
      <c r="D36" s="255">
        <f t="shared" si="7"/>
        <v>0.84999999962747097</v>
      </c>
      <c r="E36" s="255">
        <f t="shared" si="7"/>
        <v>61854.678414320049</v>
      </c>
      <c r="F36" s="255">
        <f t="shared" si="7"/>
        <v>69850.529414320074</v>
      </c>
      <c r="G36" s="255">
        <f t="shared" si="7"/>
        <v>69855.921414320066</v>
      </c>
      <c r="H36" s="255">
        <f t="shared" si="7"/>
        <v>68922.365364320052</v>
      </c>
      <c r="I36" s="255">
        <f t="shared" si="7"/>
        <v>42075.365364320052</v>
      </c>
      <c r="J36" s="255">
        <f t="shared" si="7"/>
        <v>-11617.634635679948</v>
      </c>
      <c r="K36" s="255">
        <f t="shared" si="7"/>
        <v>-11617.634635679948</v>
      </c>
      <c r="L36" s="255">
        <f t="shared" si="7"/>
        <v>-11617.634635679948</v>
      </c>
      <c r="M36" s="255">
        <f t="shared" si="7"/>
        <v>-11617.634635679948</v>
      </c>
      <c r="N36" s="255">
        <f t="shared" si="7"/>
        <v>-11617.634635679948</v>
      </c>
      <c r="O36" s="255">
        <f t="shared" si="7"/>
        <v>-11617.634635679948</v>
      </c>
      <c r="P36" s="255">
        <f t="shared" si="7"/>
        <v>-11617.634635679948</v>
      </c>
      <c r="Q36" s="255">
        <f t="shared" ref="Q36" si="8">Q20-Q33</f>
        <v>-11617.634635679948</v>
      </c>
      <c r="R36" s="256"/>
      <c r="S36" s="256"/>
      <c r="T36" s="256"/>
      <c r="U36" s="256"/>
      <c r="V36" s="256"/>
      <c r="W36" s="256"/>
      <c r="X36" s="256"/>
      <c r="Y36" s="256"/>
      <c r="Z36" s="256"/>
      <c r="AA36" s="256"/>
      <c r="AB36" s="256"/>
      <c r="AC36" s="256"/>
      <c r="AD36" s="256"/>
      <c r="AE36" s="256"/>
      <c r="AF36" s="256"/>
      <c r="AG36" s="256"/>
      <c r="AH36" s="256"/>
      <c r="AI36" s="256"/>
    </row>
    <row r="37" spans="1:35" ht="4.5" customHeight="1" x14ac:dyDescent="0.35">
      <c r="A37" s="229"/>
      <c r="B37" s="237"/>
      <c r="C37" s="18"/>
      <c r="D37" s="18"/>
      <c r="E37" s="18"/>
      <c r="F37" s="18"/>
      <c r="G37" s="18"/>
      <c r="H37" s="18"/>
      <c r="I37" s="18"/>
      <c r="J37" s="18"/>
      <c r="K37" s="18"/>
      <c r="L37" s="18"/>
      <c r="M37" s="18"/>
      <c r="N37" s="18"/>
      <c r="O37" s="18"/>
      <c r="P37" s="18"/>
      <c r="Q37" s="18"/>
    </row>
    <row r="38" spans="1:35" s="241" customFormat="1" ht="22.5" customHeight="1" x14ac:dyDescent="0.35">
      <c r="A38" s="238" t="s">
        <v>140</v>
      </c>
      <c r="B38" s="239" t="s">
        <v>3</v>
      </c>
      <c r="C38" s="240">
        <f>C36</f>
        <v>0</v>
      </c>
      <c r="D38" s="240">
        <f>C38+D36</f>
        <v>0.84999999962747097</v>
      </c>
      <c r="E38" s="240">
        <f t="shared" ref="E38:O38" si="9">D38+E36</f>
        <v>61855.528414319677</v>
      </c>
      <c r="F38" s="240">
        <f t="shared" si="9"/>
        <v>131706.05782863975</v>
      </c>
      <c r="G38" s="240">
        <f t="shared" si="9"/>
        <v>201561.97924295982</v>
      </c>
      <c r="H38" s="240">
        <f t="shared" si="9"/>
        <v>270484.34460727987</v>
      </c>
      <c r="I38" s="240">
        <f t="shared" si="9"/>
        <v>312559.70997159992</v>
      </c>
      <c r="J38" s="240">
        <f t="shared" si="9"/>
        <v>300942.07533591997</v>
      </c>
      <c r="K38" s="240">
        <f t="shared" si="9"/>
        <v>289324.44070024003</v>
      </c>
      <c r="L38" s="240">
        <f t="shared" si="9"/>
        <v>277706.80606456008</v>
      </c>
      <c r="M38" s="240">
        <f t="shared" si="9"/>
        <v>266089.17142888013</v>
      </c>
      <c r="N38" s="240">
        <f t="shared" si="9"/>
        <v>254471.53679320018</v>
      </c>
      <c r="O38" s="240">
        <f t="shared" si="9"/>
        <v>242853.90215752024</v>
      </c>
      <c r="P38" s="240">
        <f t="shared" ref="P38" si="10">O38+P36</f>
        <v>231236.26752184029</v>
      </c>
      <c r="Q38" s="240">
        <f t="shared" ref="Q38" si="11">P38+Q36</f>
        <v>219618.63288616034</v>
      </c>
      <c r="R38" s="3"/>
      <c r="S38" s="3"/>
      <c r="T38" s="3"/>
      <c r="U38" s="3"/>
      <c r="V38" s="3"/>
      <c r="W38" s="3"/>
      <c r="X38" s="3"/>
      <c r="Y38" s="3"/>
      <c r="Z38" s="3"/>
      <c r="AA38" s="3"/>
      <c r="AB38" s="3"/>
      <c r="AC38" s="3"/>
      <c r="AD38" s="3"/>
      <c r="AE38" s="3"/>
      <c r="AF38" s="3"/>
      <c r="AG38" s="3"/>
      <c r="AH38" s="3"/>
      <c r="AI38" s="3"/>
    </row>
    <row r="39" spans="1:35" ht="4.5" customHeight="1" x14ac:dyDescent="0.35">
      <c r="A39" s="229"/>
      <c r="B39" s="230"/>
      <c r="C39" s="18"/>
      <c r="D39" s="18"/>
      <c r="E39" s="18"/>
      <c r="F39" s="18"/>
      <c r="G39" s="18"/>
      <c r="H39" s="18"/>
      <c r="I39" s="18"/>
      <c r="J39" s="18"/>
      <c r="K39" s="18"/>
      <c r="L39" s="18"/>
      <c r="M39" s="18"/>
      <c r="N39" s="18"/>
      <c r="O39" s="18"/>
      <c r="P39" s="18"/>
      <c r="Q39" s="19"/>
    </row>
    <row r="41" spans="1:35" s="261" customFormat="1" ht="13" x14ac:dyDescent="0.35">
      <c r="A41" s="258" t="s">
        <v>141</v>
      </c>
      <c r="B41" s="258"/>
      <c r="C41" s="259">
        <f>C16-C28</f>
        <v>0</v>
      </c>
      <c r="D41" s="259">
        <f t="shared" ref="D41:O41" si="12">C41+D16-D28</f>
        <v>0</v>
      </c>
      <c r="E41" s="259">
        <f t="shared" si="12"/>
        <v>0</v>
      </c>
      <c r="F41" s="259">
        <f t="shared" si="12"/>
        <v>0</v>
      </c>
      <c r="G41" s="259">
        <f t="shared" si="12"/>
        <v>0</v>
      </c>
      <c r="H41" s="259">
        <f t="shared" si="12"/>
        <v>0</v>
      </c>
      <c r="I41" s="259">
        <f t="shared" si="12"/>
        <v>0</v>
      </c>
      <c r="J41" s="259">
        <f t="shared" si="12"/>
        <v>0</v>
      </c>
      <c r="K41" s="259">
        <f t="shared" si="12"/>
        <v>0</v>
      </c>
      <c r="L41" s="259">
        <f t="shared" si="12"/>
        <v>0</v>
      </c>
      <c r="M41" s="259">
        <f t="shared" si="12"/>
        <v>0</v>
      </c>
      <c r="N41" s="259">
        <f t="shared" si="12"/>
        <v>0</v>
      </c>
      <c r="O41" s="259">
        <f t="shared" si="12"/>
        <v>0</v>
      </c>
      <c r="P41" s="259">
        <f t="shared" ref="P41" si="13">O41+P16-P28</f>
        <v>0</v>
      </c>
      <c r="Q41" s="259">
        <f t="shared" ref="Q41" si="14">P41+Q16-Q28</f>
        <v>0</v>
      </c>
      <c r="R41" s="260"/>
      <c r="S41" s="260"/>
      <c r="T41" s="260"/>
      <c r="U41" s="260"/>
      <c r="V41" s="260"/>
      <c r="W41" s="260"/>
      <c r="X41" s="260"/>
      <c r="Y41" s="260"/>
      <c r="Z41" s="260"/>
      <c r="AA41" s="260"/>
      <c r="AB41" s="260"/>
      <c r="AC41" s="260"/>
      <c r="AD41" s="260"/>
      <c r="AE41" s="260"/>
      <c r="AF41" s="260"/>
      <c r="AG41" s="260"/>
      <c r="AH41" s="260"/>
      <c r="AI41" s="260"/>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E2F6"/>
  </sheetPr>
  <dimension ref="A1:BM17"/>
  <sheetViews>
    <sheetView showGridLines="0" zoomScaleNormal="100" workbookViewId="0">
      <pane xSplit="1" ySplit="7" topLeftCell="B8" activePane="bottomRight" state="frozen"/>
      <selection pane="topRight" activeCell="B1" sqref="B1"/>
      <selection pane="bottomLeft" activeCell="A5" sqref="A5"/>
      <selection pane="bottomRight" activeCell="R12" sqref="R12"/>
    </sheetView>
  </sheetViews>
  <sheetFormatPr defaultColWidth="9.1796875" defaultRowHeight="14.5" x14ac:dyDescent="0.35"/>
  <cols>
    <col min="1" max="1" width="37.81640625" style="71" customWidth="1"/>
    <col min="2" max="2" width="7.453125" style="256" customWidth="1"/>
    <col min="3" max="16" width="7.1796875" style="1" customWidth="1"/>
    <col min="17" max="35" width="9.1796875" style="1"/>
    <col min="36" max="16384" width="9.1796875" style="70"/>
  </cols>
  <sheetData>
    <row r="1" spans="1:65" ht="18.5" x14ac:dyDescent="0.35">
      <c r="A1" s="315" t="s">
        <v>241</v>
      </c>
      <c r="E1" s="316" t="s">
        <v>242</v>
      </c>
    </row>
    <row r="2" spans="1:65" ht="8.25" customHeight="1" x14ac:dyDescent="0.35"/>
    <row r="3" spans="1:65" ht="22.5" customHeight="1" x14ac:dyDescent="0.35">
      <c r="Q3" s="317" t="s">
        <v>243</v>
      </c>
      <c r="R3" s="318">
        <f>'1. Projekti elluviimise kulud'!O21</f>
        <v>0</v>
      </c>
      <c r="S3" s="1" t="s">
        <v>88</v>
      </c>
    </row>
    <row r="4" spans="1:65" ht="20.25" customHeight="1" x14ac:dyDescent="0.35">
      <c r="C4" s="996" t="s">
        <v>244</v>
      </c>
      <c r="D4" s="996"/>
      <c r="E4" s="996"/>
      <c r="F4" s="996"/>
      <c r="G4" s="996"/>
      <c r="H4" s="996"/>
      <c r="I4" s="996"/>
      <c r="J4" s="996"/>
      <c r="K4" s="996"/>
      <c r="L4" s="996"/>
      <c r="M4" s="996"/>
      <c r="N4" s="996"/>
      <c r="O4" s="996"/>
      <c r="P4" s="996"/>
      <c r="Q4" s="996"/>
      <c r="R4" s="997" t="s">
        <v>245</v>
      </c>
      <c r="S4" s="997"/>
      <c r="T4" s="997"/>
      <c r="U4" s="997"/>
      <c r="V4" s="997"/>
      <c r="W4" s="997"/>
      <c r="X4" s="997"/>
      <c r="Y4" s="997"/>
      <c r="Z4" s="997"/>
      <c r="AA4" s="997"/>
      <c r="AB4" s="997"/>
      <c r="AC4" s="997"/>
      <c r="AD4" s="997"/>
      <c r="AE4" s="997"/>
      <c r="AF4" s="997"/>
      <c r="AG4" s="997"/>
      <c r="AH4" s="997"/>
      <c r="AI4" s="997"/>
      <c r="AJ4" s="997"/>
      <c r="AK4" s="997"/>
      <c r="AL4" s="997"/>
      <c r="AM4" s="997"/>
      <c r="AN4" s="997"/>
      <c r="AO4" s="997"/>
      <c r="AP4" s="997"/>
      <c r="AQ4" s="997"/>
      <c r="AR4" s="997"/>
      <c r="AS4" s="997"/>
      <c r="AT4" s="997"/>
      <c r="AU4" s="997"/>
      <c r="AV4" s="997"/>
      <c r="AW4" s="997"/>
      <c r="AX4" s="997"/>
      <c r="AY4" s="997"/>
      <c r="AZ4" s="997"/>
      <c r="BA4" s="997"/>
      <c r="BB4" s="997"/>
      <c r="BC4" s="997"/>
      <c r="BD4" s="997"/>
      <c r="BE4" s="997"/>
      <c r="BF4" s="997"/>
    </row>
    <row r="5" spans="1:65" ht="12" customHeight="1" x14ac:dyDescent="0.35">
      <c r="C5" s="319"/>
      <c r="D5" s="319"/>
      <c r="E5" s="319"/>
      <c r="F5" s="319"/>
      <c r="G5" s="319"/>
      <c r="H5" s="319"/>
      <c r="I5" s="319"/>
      <c r="J5" s="319"/>
      <c r="K5" s="319"/>
      <c r="L5" s="319"/>
      <c r="M5" s="319"/>
      <c r="N5" s="319"/>
      <c r="O5" s="319"/>
      <c r="P5" s="319"/>
      <c r="Q5" s="319"/>
      <c r="R5" s="320">
        <v>1</v>
      </c>
      <c r="S5" s="320">
        <v>2</v>
      </c>
      <c r="T5" s="320">
        <v>3</v>
      </c>
      <c r="U5" s="320">
        <v>4</v>
      </c>
      <c r="V5" s="320">
        <v>5</v>
      </c>
      <c r="W5" s="320">
        <v>6</v>
      </c>
      <c r="X5" s="320">
        <v>7</v>
      </c>
      <c r="Y5" s="320">
        <v>8</v>
      </c>
      <c r="Z5" s="320">
        <v>9</v>
      </c>
      <c r="AA5" s="320">
        <v>10</v>
      </c>
      <c r="AB5" s="320">
        <v>11</v>
      </c>
      <c r="AC5" s="320">
        <v>12</v>
      </c>
      <c r="AD5" s="320">
        <v>13</v>
      </c>
      <c r="AE5" s="320">
        <v>14</v>
      </c>
      <c r="AF5" s="320">
        <v>15</v>
      </c>
      <c r="AG5" s="320">
        <v>16</v>
      </c>
      <c r="AH5" s="320">
        <v>17</v>
      </c>
      <c r="AI5" s="320">
        <v>18</v>
      </c>
      <c r="AJ5" s="320">
        <v>19</v>
      </c>
      <c r="AK5" s="320">
        <v>20</v>
      </c>
      <c r="AL5" s="320">
        <v>21</v>
      </c>
      <c r="AM5" s="320">
        <v>22</v>
      </c>
      <c r="AN5" s="320">
        <v>23</v>
      </c>
      <c r="AO5" s="320">
        <v>24</v>
      </c>
      <c r="AP5" s="320">
        <v>25</v>
      </c>
      <c r="AQ5" s="320">
        <v>26</v>
      </c>
      <c r="AR5" s="320">
        <v>27</v>
      </c>
      <c r="AS5" s="320">
        <v>28</v>
      </c>
      <c r="AT5" s="320">
        <v>29</v>
      </c>
      <c r="AU5" s="320">
        <v>30</v>
      </c>
      <c r="AV5" s="320">
        <v>31</v>
      </c>
      <c r="AW5" s="320">
        <v>32</v>
      </c>
      <c r="AX5" s="320">
        <v>33</v>
      </c>
      <c r="AY5" s="320">
        <v>34</v>
      </c>
      <c r="AZ5" s="320">
        <v>35</v>
      </c>
      <c r="BA5" s="320">
        <v>36</v>
      </c>
      <c r="BB5" s="320">
        <v>37</v>
      </c>
      <c r="BC5" s="320">
        <v>38</v>
      </c>
      <c r="BD5" s="320">
        <v>39</v>
      </c>
      <c r="BE5" s="320">
        <v>40</v>
      </c>
      <c r="BF5" s="320">
        <v>41</v>
      </c>
    </row>
    <row r="6" spans="1:65" s="325" customFormat="1" ht="23.25" customHeight="1" x14ac:dyDescent="0.35">
      <c r="A6" s="321"/>
      <c r="B6" s="322"/>
      <c r="C6" s="323">
        <f>'2. Tulud-kulud projektiga'!D3</f>
        <v>2023</v>
      </c>
      <c r="D6" s="323">
        <f>C6+1</f>
        <v>2024</v>
      </c>
      <c r="E6" s="323">
        <f t="shared" ref="E6:BF6" si="0">D6+1</f>
        <v>2025</v>
      </c>
      <c r="F6" s="323">
        <f t="shared" si="0"/>
        <v>2026</v>
      </c>
      <c r="G6" s="323">
        <f t="shared" si="0"/>
        <v>2027</v>
      </c>
      <c r="H6" s="323">
        <f t="shared" si="0"/>
        <v>2028</v>
      </c>
      <c r="I6" s="323">
        <f t="shared" si="0"/>
        <v>2029</v>
      </c>
      <c r="J6" s="323">
        <f t="shared" si="0"/>
        <v>2030</v>
      </c>
      <c r="K6" s="323">
        <f t="shared" si="0"/>
        <v>2031</v>
      </c>
      <c r="L6" s="323">
        <f t="shared" si="0"/>
        <v>2032</v>
      </c>
      <c r="M6" s="323">
        <f t="shared" si="0"/>
        <v>2033</v>
      </c>
      <c r="N6" s="323">
        <f t="shared" si="0"/>
        <v>2034</v>
      </c>
      <c r="O6" s="323">
        <f t="shared" si="0"/>
        <v>2035</v>
      </c>
      <c r="P6" s="323">
        <f t="shared" si="0"/>
        <v>2036</v>
      </c>
      <c r="Q6" s="323">
        <f t="shared" si="0"/>
        <v>2037</v>
      </c>
      <c r="R6" s="324">
        <f t="shared" si="0"/>
        <v>2038</v>
      </c>
      <c r="S6" s="324">
        <f t="shared" si="0"/>
        <v>2039</v>
      </c>
      <c r="T6" s="324">
        <f t="shared" si="0"/>
        <v>2040</v>
      </c>
      <c r="U6" s="324">
        <f t="shared" si="0"/>
        <v>2041</v>
      </c>
      <c r="V6" s="324">
        <f t="shared" si="0"/>
        <v>2042</v>
      </c>
      <c r="W6" s="324">
        <f t="shared" si="0"/>
        <v>2043</v>
      </c>
      <c r="X6" s="324">
        <f t="shared" si="0"/>
        <v>2044</v>
      </c>
      <c r="Y6" s="324">
        <f t="shared" si="0"/>
        <v>2045</v>
      </c>
      <c r="Z6" s="324">
        <f t="shared" si="0"/>
        <v>2046</v>
      </c>
      <c r="AA6" s="324">
        <f t="shared" si="0"/>
        <v>2047</v>
      </c>
      <c r="AB6" s="324">
        <f t="shared" si="0"/>
        <v>2048</v>
      </c>
      <c r="AC6" s="324">
        <f t="shared" si="0"/>
        <v>2049</v>
      </c>
      <c r="AD6" s="324">
        <f t="shared" si="0"/>
        <v>2050</v>
      </c>
      <c r="AE6" s="324">
        <f t="shared" si="0"/>
        <v>2051</v>
      </c>
      <c r="AF6" s="324">
        <f t="shared" si="0"/>
        <v>2052</v>
      </c>
      <c r="AG6" s="324">
        <f t="shared" si="0"/>
        <v>2053</v>
      </c>
      <c r="AH6" s="324">
        <f t="shared" si="0"/>
        <v>2054</v>
      </c>
      <c r="AI6" s="324">
        <f t="shared" si="0"/>
        <v>2055</v>
      </c>
      <c r="AJ6" s="324">
        <f t="shared" si="0"/>
        <v>2056</v>
      </c>
      <c r="AK6" s="324">
        <f t="shared" si="0"/>
        <v>2057</v>
      </c>
      <c r="AL6" s="324">
        <f t="shared" si="0"/>
        <v>2058</v>
      </c>
      <c r="AM6" s="324">
        <f t="shared" si="0"/>
        <v>2059</v>
      </c>
      <c r="AN6" s="324">
        <f t="shared" si="0"/>
        <v>2060</v>
      </c>
      <c r="AO6" s="324">
        <f t="shared" si="0"/>
        <v>2061</v>
      </c>
      <c r="AP6" s="324">
        <f t="shared" si="0"/>
        <v>2062</v>
      </c>
      <c r="AQ6" s="324">
        <f t="shared" si="0"/>
        <v>2063</v>
      </c>
      <c r="AR6" s="324">
        <f t="shared" si="0"/>
        <v>2064</v>
      </c>
      <c r="AS6" s="324">
        <f t="shared" si="0"/>
        <v>2065</v>
      </c>
      <c r="AT6" s="324">
        <f t="shared" si="0"/>
        <v>2066</v>
      </c>
      <c r="AU6" s="324">
        <f t="shared" si="0"/>
        <v>2067</v>
      </c>
      <c r="AV6" s="324">
        <f t="shared" si="0"/>
        <v>2068</v>
      </c>
      <c r="AW6" s="324">
        <f t="shared" si="0"/>
        <v>2069</v>
      </c>
      <c r="AX6" s="324">
        <f t="shared" si="0"/>
        <v>2070</v>
      </c>
      <c r="AY6" s="324">
        <f t="shared" si="0"/>
        <v>2071</v>
      </c>
      <c r="AZ6" s="324">
        <f t="shared" si="0"/>
        <v>2072</v>
      </c>
      <c r="BA6" s="324">
        <f t="shared" si="0"/>
        <v>2073</v>
      </c>
      <c r="BB6" s="324">
        <f t="shared" si="0"/>
        <v>2074</v>
      </c>
      <c r="BC6" s="324">
        <f t="shared" si="0"/>
        <v>2075</v>
      </c>
      <c r="BD6" s="324">
        <f t="shared" si="0"/>
        <v>2076</v>
      </c>
      <c r="BE6" s="324">
        <f t="shared" si="0"/>
        <v>2077</v>
      </c>
      <c r="BF6" s="324">
        <f t="shared" si="0"/>
        <v>2078</v>
      </c>
    </row>
    <row r="7" spans="1:65" ht="4.5" customHeight="1" x14ac:dyDescent="0.35">
      <c r="A7" s="229"/>
      <c r="B7" s="237"/>
      <c r="C7" s="74"/>
      <c r="D7" s="74"/>
      <c r="E7" s="74"/>
      <c r="F7" s="74"/>
      <c r="G7" s="74"/>
      <c r="H7" s="74"/>
      <c r="I7" s="74"/>
      <c r="J7" s="74"/>
      <c r="K7" s="74"/>
      <c r="L7" s="74"/>
      <c r="M7" s="74"/>
      <c r="N7" s="74"/>
      <c r="O7" s="74"/>
      <c r="P7" s="134"/>
      <c r="Q7" s="134"/>
      <c r="R7" s="326"/>
      <c r="S7" s="326"/>
      <c r="T7" s="326"/>
      <c r="U7" s="326"/>
      <c r="V7" s="326"/>
      <c r="W7" s="326"/>
      <c r="X7" s="326"/>
      <c r="Y7" s="326"/>
      <c r="Z7" s="326"/>
      <c r="AA7" s="326"/>
      <c r="AB7" s="326"/>
      <c r="AC7" s="326"/>
      <c r="AD7" s="326"/>
      <c r="AE7" s="326"/>
      <c r="AF7" s="326"/>
      <c r="AG7" s="326"/>
      <c r="AH7" s="326"/>
      <c r="AI7" s="326"/>
      <c r="AJ7" s="327"/>
      <c r="AK7" s="327"/>
      <c r="AL7" s="327"/>
      <c r="AM7" s="327"/>
      <c r="AN7" s="327"/>
      <c r="AO7" s="327"/>
      <c r="AP7" s="327"/>
      <c r="AQ7" s="327"/>
      <c r="AR7" s="327"/>
      <c r="AS7" s="327"/>
      <c r="AT7" s="327"/>
      <c r="AU7" s="327"/>
      <c r="AV7" s="327"/>
      <c r="AW7" s="327"/>
      <c r="AX7" s="327"/>
      <c r="AY7" s="327"/>
      <c r="AZ7" s="327"/>
      <c r="BA7" s="327"/>
      <c r="BB7" s="327"/>
      <c r="BC7" s="327"/>
      <c r="BD7" s="327"/>
      <c r="BE7" s="327"/>
      <c r="BF7" s="327"/>
    </row>
    <row r="8" spans="1:65" ht="36.75" customHeight="1" x14ac:dyDescent="0.35">
      <c r="A8" s="328" t="s">
        <v>251</v>
      </c>
      <c r="B8" s="329" t="s">
        <v>3</v>
      </c>
      <c r="C8" s="998">
        <f>'5. Abikõlblik kulu'!D11-'5. Abikõlblik kulu'!D12</f>
        <v>-148589.2999650673</v>
      </c>
      <c r="D8" s="999"/>
      <c r="E8" s="999"/>
      <c r="F8" s="999"/>
      <c r="G8" s="999"/>
      <c r="H8" s="999"/>
      <c r="I8" s="999"/>
      <c r="J8" s="999"/>
      <c r="K8" s="999"/>
      <c r="L8" s="999"/>
      <c r="M8" s="999"/>
      <c r="N8" s="999"/>
      <c r="O8" s="999"/>
      <c r="P8" s="999"/>
      <c r="Q8" s="1000"/>
      <c r="R8" s="326"/>
      <c r="S8" s="326"/>
      <c r="T8" s="326"/>
      <c r="U8" s="326"/>
      <c r="V8" s="326"/>
      <c r="W8" s="326"/>
      <c r="X8" s="326"/>
      <c r="Y8" s="326"/>
      <c r="Z8" s="326"/>
      <c r="AA8" s="326"/>
      <c r="AB8" s="326"/>
      <c r="AC8" s="326"/>
      <c r="AD8" s="326"/>
      <c r="AE8" s="326"/>
      <c r="AF8" s="326"/>
      <c r="AG8" s="326"/>
      <c r="AH8" s="326"/>
      <c r="AI8" s="326"/>
      <c r="AJ8" s="327"/>
      <c r="AK8" s="327"/>
      <c r="AL8" s="327"/>
      <c r="AM8" s="327"/>
      <c r="AN8" s="327"/>
      <c r="AO8" s="327"/>
      <c r="AP8" s="327"/>
      <c r="AQ8" s="327"/>
      <c r="AR8" s="327"/>
      <c r="AS8" s="327"/>
      <c r="AT8" s="327"/>
      <c r="AU8" s="327"/>
      <c r="AV8" s="327"/>
      <c r="AW8" s="327"/>
      <c r="AX8" s="327"/>
      <c r="AY8" s="327"/>
      <c r="AZ8" s="327"/>
      <c r="BA8" s="327"/>
      <c r="BB8" s="327"/>
      <c r="BC8" s="327"/>
      <c r="BD8" s="327"/>
      <c r="BE8" s="327"/>
      <c r="BF8" s="327"/>
    </row>
    <row r="9" spans="1:65" ht="24.75" customHeight="1" x14ac:dyDescent="0.35">
      <c r="A9" s="330" t="s">
        <v>246</v>
      </c>
      <c r="B9" s="329" t="s">
        <v>3</v>
      </c>
      <c r="C9" s="1001" t="str">
        <f>IF(AND((C8&gt;0),(R3&gt;0)),"Projekti varale on vaja arvutada jääkväärtus","Jääkväärtust ei ole vaja arvutada")</f>
        <v>Jääkväärtust ei ole vaja arvutada</v>
      </c>
      <c r="D9" s="1002"/>
      <c r="E9" s="1002"/>
      <c r="F9" s="1002"/>
      <c r="G9" s="1002"/>
      <c r="H9" s="1002"/>
      <c r="I9" s="1002"/>
      <c r="J9" s="1002"/>
      <c r="K9" s="1002"/>
      <c r="L9" s="1002"/>
      <c r="M9" s="1002"/>
      <c r="N9" s="1002"/>
      <c r="O9" s="1002"/>
      <c r="P9" s="1002"/>
      <c r="Q9" s="1003"/>
      <c r="R9" s="326"/>
      <c r="S9" s="326"/>
      <c r="T9" s="326"/>
      <c r="U9" s="326"/>
      <c r="V9" s="326"/>
      <c r="W9" s="326"/>
      <c r="X9" s="326"/>
      <c r="Y9" s="326"/>
      <c r="Z9" s="326"/>
      <c r="AA9" s="326"/>
      <c r="AB9" s="326"/>
      <c r="AC9" s="326"/>
      <c r="AD9" s="326"/>
      <c r="AE9" s="326"/>
      <c r="AF9" s="326"/>
      <c r="AG9" s="326"/>
      <c r="AH9" s="326"/>
      <c r="AI9" s="326"/>
      <c r="AJ9" s="327"/>
      <c r="AK9" s="327"/>
      <c r="AL9" s="327"/>
      <c r="AM9" s="327"/>
      <c r="AN9" s="327"/>
      <c r="AO9" s="327"/>
      <c r="AP9" s="327"/>
      <c r="AQ9" s="327"/>
      <c r="AR9" s="327"/>
      <c r="AS9" s="327"/>
      <c r="AT9" s="327"/>
      <c r="AU9" s="327"/>
      <c r="AV9" s="327"/>
      <c r="AW9" s="327"/>
      <c r="AX9" s="327"/>
      <c r="AY9" s="327"/>
      <c r="AZ9" s="327"/>
      <c r="BA9" s="327"/>
      <c r="BB9" s="327"/>
      <c r="BC9" s="327"/>
      <c r="BD9" s="327"/>
      <c r="BE9" s="327"/>
      <c r="BF9" s="327"/>
    </row>
    <row r="10" spans="1:65" ht="4.5" customHeight="1" x14ac:dyDescent="0.35">
      <c r="A10" s="229"/>
      <c r="B10" s="237"/>
      <c r="C10" s="74"/>
      <c r="D10" s="74"/>
      <c r="E10" s="74"/>
      <c r="F10" s="74"/>
      <c r="G10" s="74"/>
      <c r="H10" s="74"/>
      <c r="I10" s="74"/>
      <c r="J10" s="74"/>
      <c r="K10" s="74"/>
      <c r="L10" s="74"/>
      <c r="M10" s="74"/>
      <c r="N10" s="74"/>
      <c r="O10" s="74"/>
      <c r="P10" s="74"/>
      <c r="Q10" s="74"/>
      <c r="R10" s="326"/>
      <c r="S10" s="326"/>
      <c r="T10" s="326"/>
      <c r="U10" s="326"/>
      <c r="V10" s="326"/>
      <c r="W10" s="326"/>
      <c r="X10" s="326"/>
      <c r="Y10" s="326"/>
      <c r="Z10" s="326"/>
      <c r="AA10" s="326"/>
      <c r="AB10" s="326"/>
      <c r="AC10" s="326"/>
      <c r="AD10" s="326"/>
      <c r="AE10" s="326"/>
      <c r="AF10" s="326"/>
      <c r="AG10" s="326"/>
      <c r="AH10" s="326"/>
      <c r="AI10" s="326"/>
      <c r="AJ10" s="327"/>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row>
    <row r="11" spans="1:65" s="235" customFormat="1" ht="39.75" customHeight="1" x14ac:dyDescent="0.35">
      <c r="A11" s="331" t="s">
        <v>247</v>
      </c>
      <c r="B11" s="329" t="s">
        <v>3</v>
      </c>
      <c r="C11" s="299"/>
      <c r="D11" s="299"/>
      <c r="E11" s="299"/>
      <c r="F11" s="299"/>
      <c r="G11" s="299"/>
      <c r="H11" s="299"/>
      <c r="I11" s="299"/>
      <c r="J11" s="299"/>
      <c r="K11" s="299"/>
      <c r="L11" s="299"/>
      <c r="M11" s="299"/>
      <c r="N11" s="299"/>
      <c r="O11" s="299"/>
      <c r="P11" s="299"/>
      <c r="Q11" s="332">
        <f>'4. Lisanduvad tulud-kulud'!R121</f>
        <v>-11617.634635679948</v>
      </c>
      <c r="R11" s="333"/>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4"/>
      <c r="BG11" s="335"/>
      <c r="BH11" s="335"/>
      <c r="BI11" s="335"/>
      <c r="BJ11" s="335"/>
      <c r="BK11" s="335"/>
      <c r="BL11" s="335"/>
      <c r="BM11" s="336"/>
    </row>
    <row r="12" spans="1:65" ht="60.75" customHeight="1" x14ac:dyDescent="0.35">
      <c r="A12" s="331" t="s">
        <v>248</v>
      </c>
      <c r="B12" s="329" t="s">
        <v>3</v>
      </c>
      <c r="C12" s="337"/>
      <c r="D12" s="337"/>
      <c r="E12" s="337"/>
      <c r="F12" s="337"/>
      <c r="G12" s="337"/>
      <c r="H12" s="337"/>
      <c r="I12" s="337"/>
      <c r="J12" s="337"/>
      <c r="K12" s="337"/>
      <c r="L12" s="337"/>
      <c r="M12" s="337"/>
      <c r="N12" s="337"/>
      <c r="O12" s="337"/>
      <c r="P12" s="337"/>
      <c r="Q12" s="337"/>
      <c r="R12" s="338"/>
      <c r="S12" s="338"/>
      <c r="T12" s="338"/>
      <c r="U12" s="338"/>
      <c r="V12" s="338"/>
      <c r="W12" s="338"/>
      <c r="X12" s="338"/>
      <c r="Y12" s="338"/>
      <c r="Z12" s="338"/>
      <c r="AA12" s="338"/>
      <c r="AB12" s="338"/>
      <c r="AC12" s="338"/>
      <c r="AD12" s="338"/>
      <c r="AE12" s="338"/>
      <c r="AF12" s="338"/>
      <c r="AG12" s="338"/>
      <c r="AH12" s="338"/>
      <c r="AI12" s="338"/>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40"/>
      <c r="BH12" s="340"/>
      <c r="BI12" s="340"/>
      <c r="BJ12" s="340"/>
      <c r="BK12" s="340"/>
      <c r="BL12" s="340"/>
      <c r="BM12" s="341"/>
    </row>
    <row r="13" spans="1:65" ht="30.75" customHeight="1" x14ac:dyDescent="0.35">
      <c r="A13" s="331" t="s">
        <v>93</v>
      </c>
      <c r="B13" s="329" t="s">
        <v>3</v>
      </c>
      <c r="C13" s="337"/>
      <c r="D13" s="337"/>
      <c r="E13" s="337"/>
      <c r="F13" s="337"/>
      <c r="G13" s="337"/>
      <c r="H13" s="337"/>
      <c r="I13" s="337"/>
      <c r="J13" s="337"/>
      <c r="K13" s="337"/>
      <c r="L13" s="337"/>
      <c r="M13" s="337"/>
      <c r="N13" s="337"/>
      <c r="O13" s="337"/>
      <c r="P13" s="337"/>
      <c r="Q13" s="332">
        <f>NPV(C16,R12:BF12)</f>
        <v>0</v>
      </c>
      <c r="R13" s="342"/>
      <c r="S13" s="342"/>
      <c r="T13" s="342"/>
      <c r="U13" s="342"/>
      <c r="V13" s="342"/>
      <c r="W13" s="342"/>
      <c r="X13" s="342"/>
      <c r="Y13" s="342"/>
      <c r="Z13" s="342"/>
      <c r="AA13" s="342"/>
      <c r="AB13" s="342"/>
      <c r="AC13" s="342"/>
      <c r="AD13" s="342"/>
      <c r="AE13" s="342"/>
      <c r="AF13" s="342"/>
      <c r="AG13" s="342"/>
      <c r="AH13" s="342"/>
      <c r="AI13" s="342"/>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0"/>
      <c r="BH13" s="340"/>
      <c r="BI13" s="340"/>
      <c r="BJ13" s="340"/>
      <c r="BK13" s="340"/>
      <c r="BL13" s="340"/>
      <c r="BM13" s="341"/>
    </row>
    <row r="14" spans="1:65" ht="40.5" customHeight="1" x14ac:dyDescent="0.35">
      <c r="A14" s="331" t="s">
        <v>249</v>
      </c>
      <c r="B14" s="329" t="s">
        <v>3</v>
      </c>
      <c r="C14" s="337">
        <v>0</v>
      </c>
      <c r="D14" s="337">
        <v>0</v>
      </c>
      <c r="E14" s="337">
        <v>0</v>
      </c>
      <c r="F14" s="337">
        <v>0</v>
      </c>
      <c r="G14" s="337">
        <v>0</v>
      </c>
      <c r="H14" s="337">
        <v>0</v>
      </c>
      <c r="I14" s="337">
        <v>0</v>
      </c>
      <c r="J14" s="337">
        <v>0</v>
      </c>
      <c r="K14" s="337">
        <v>0</v>
      </c>
      <c r="L14" s="337">
        <v>0</v>
      </c>
      <c r="M14" s="337">
        <v>0</v>
      </c>
      <c r="N14" s="337">
        <v>0</v>
      </c>
      <c r="O14" s="337">
        <v>0</v>
      </c>
      <c r="P14" s="337">
        <v>0</v>
      </c>
      <c r="Q14" s="332">
        <f>IF(Q13&gt;0,Q13,0)</f>
        <v>0</v>
      </c>
      <c r="R14" s="344"/>
      <c r="S14" s="342"/>
      <c r="T14" s="342"/>
      <c r="U14" s="342"/>
      <c r="V14" s="342"/>
      <c r="W14" s="342"/>
      <c r="X14" s="342"/>
      <c r="Y14" s="342"/>
      <c r="Z14" s="342"/>
      <c r="AA14" s="342"/>
      <c r="AB14" s="342"/>
      <c r="AC14" s="342"/>
      <c r="AD14" s="342"/>
      <c r="AE14" s="342"/>
      <c r="AF14" s="342"/>
      <c r="AG14" s="342"/>
      <c r="AH14" s="342"/>
      <c r="AI14" s="342"/>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0"/>
      <c r="BH14" s="340"/>
      <c r="BI14" s="340"/>
      <c r="BJ14" s="340"/>
      <c r="BK14" s="340"/>
      <c r="BL14" s="340"/>
      <c r="BM14" s="341"/>
    </row>
    <row r="15" spans="1:65" ht="18.75" customHeight="1" x14ac:dyDescent="0.35">
      <c r="A15" s="345"/>
      <c r="C15" s="16"/>
      <c r="D15" s="16"/>
      <c r="E15" s="16"/>
      <c r="F15" s="16"/>
      <c r="G15" s="16"/>
      <c r="H15" s="16"/>
      <c r="I15" s="16"/>
      <c r="J15" s="16"/>
      <c r="K15" s="16"/>
      <c r="L15" s="16"/>
      <c r="M15" s="16"/>
      <c r="N15" s="16"/>
      <c r="O15" s="16"/>
      <c r="P15" s="16"/>
      <c r="Q15" s="16"/>
      <c r="R15" s="346"/>
      <c r="S15" s="347"/>
      <c r="T15" s="347"/>
      <c r="U15" s="347"/>
      <c r="V15" s="347"/>
      <c r="W15" s="347"/>
      <c r="X15" s="347"/>
      <c r="Y15" s="347"/>
      <c r="Z15" s="347"/>
      <c r="AA15" s="347"/>
      <c r="AB15" s="347"/>
      <c r="AC15" s="347"/>
      <c r="AD15" s="347"/>
      <c r="AE15" s="347"/>
      <c r="AF15" s="347"/>
      <c r="AG15" s="347"/>
      <c r="AH15" s="347"/>
      <c r="AI15" s="347"/>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row>
    <row r="16" spans="1:65" ht="22.5" customHeight="1" x14ac:dyDescent="0.35">
      <c r="A16" s="348" t="s">
        <v>87</v>
      </c>
      <c r="B16" s="349"/>
      <c r="C16" s="1004">
        <f>'5. Abikõlblik kulu'!C3</f>
        <v>0.04</v>
      </c>
      <c r="D16" s="995"/>
    </row>
    <row r="17" spans="1:4" ht="39" customHeight="1" x14ac:dyDescent="0.35">
      <c r="A17" s="314" t="s">
        <v>250</v>
      </c>
      <c r="B17" s="350" t="s">
        <v>3</v>
      </c>
      <c r="C17" s="994">
        <f>NPV(C16,C14:Q14)</f>
        <v>0</v>
      </c>
      <c r="D17" s="995"/>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pane xSplit="1" ySplit="2" topLeftCell="B3" activePane="bottomRight" state="frozen"/>
      <selection pane="topRight" activeCell="B1" sqref="B1"/>
      <selection pane="bottomLeft" activeCell="A3" sqref="A3"/>
      <selection pane="bottomRight" activeCell="D13" sqref="D13"/>
    </sheetView>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184</v>
      </c>
    </row>
    <row r="2" spans="1:16" s="241" customFormat="1" ht="21" customHeight="1" x14ac:dyDescent="0.35">
      <c r="A2" s="281"/>
      <c r="B2" s="282">
        <f>Esileht!B10</f>
        <v>2023</v>
      </c>
      <c r="C2" s="282">
        <f>B2+1</f>
        <v>2024</v>
      </c>
      <c r="D2" s="282">
        <f t="shared" ref="D2:K2" si="0">C2+1</f>
        <v>2025</v>
      </c>
      <c r="E2" s="282">
        <f t="shared" si="0"/>
        <v>2026</v>
      </c>
      <c r="F2" s="282">
        <f t="shared" si="0"/>
        <v>2027</v>
      </c>
      <c r="G2" s="282">
        <f t="shared" si="0"/>
        <v>2028</v>
      </c>
      <c r="H2" s="282">
        <f t="shared" si="0"/>
        <v>2029</v>
      </c>
      <c r="I2" s="282">
        <f t="shared" si="0"/>
        <v>2030</v>
      </c>
      <c r="J2" s="282">
        <f t="shared" si="0"/>
        <v>2031</v>
      </c>
      <c r="K2" s="282">
        <f t="shared" si="0"/>
        <v>2032</v>
      </c>
      <c r="L2" s="282">
        <f t="shared" ref="L2" si="1">K2+1</f>
        <v>2033</v>
      </c>
      <c r="M2" s="282">
        <f t="shared" ref="M2" si="2">L2+1</f>
        <v>2034</v>
      </c>
      <c r="N2" s="282">
        <f t="shared" ref="N2" si="3">M2+1</f>
        <v>2035</v>
      </c>
      <c r="O2" s="282">
        <f t="shared" ref="O2" si="4">N2+1</f>
        <v>2036</v>
      </c>
      <c r="P2" s="282">
        <f t="shared" ref="P2" si="5">O2+1</f>
        <v>2037</v>
      </c>
    </row>
    <row r="3" spans="1:16" ht="27.75" customHeight="1" x14ac:dyDescent="0.35">
      <c r="A3" s="274" t="s">
        <v>185</v>
      </c>
      <c r="B3" s="283">
        <v>0.33</v>
      </c>
      <c r="C3" s="283">
        <f>B3</f>
        <v>0.33</v>
      </c>
      <c r="D3" s="283">
        <f t="shared" ref="D3:P3" si="6">C3</f>
        <v>0.33</v>
      </c>
      <c r="E3" s="283">
        <f t="shared" si="6"/>
        <v>0.33</v>
      </c>
      <c r="F3" s="283">
        <f t="shared" si="6"/>
        <v>0.33</v>
      </c>
      <c r="G3" s="283">
        <f t="shared" si="6"/>
        <v>0.33</v>
      </c>
      <c r="H3" s="283">
        <f t="shared" si="6"/>
        <v>0.33</v>
      </c>
      <c r="I3" s="283">
        <f t="shared" si="6"/>
        <v>0.33</v>
      </c>
      <c r="J3" s="283">
        <f t="shared" si="6"/>
        <v>0.33</v>
      </c>
      <c r="K3" s="283">
        <f t="shared" si="6"/>
        <v>0.33</v>
      </c>
      <c r="L3" s="283">
        <f t="shared" si="6"/>
        <v>0.33</v>
      </c>
      <c r="M3" s="283">
        <f t="shared" si="6"/>
        <v>0.33</v>
      </c>
      <c r="N3" s="283">
        <f t="shared" si="6"/>
        <v>0.33</v>
      </c>
      <c r="O3" s="283">
        <f t="shared" si="6"/>
        <v>0.33</v>
      </c>
      <c r="P3" s="283">
        <f t="shared" si="6"/>
        <v>0.33</v>
      </c>
    </row>
    <row r="4" spans="1:16" ht="50.25" customHeight="1" x14ac:dyDescent="0.35">
      <c r="A4" s="274" t="s">
        <v>186</v>
      </c>
      <c r="B4" s="283">
        <v>8.0000000000000002E-3</v>
      </c>
      <c r="C4" s="283">
        <f>B4</f>
        <v>8.0000000000000002E-3</v>
      </c>
      <c r="D4" s="283">
        <f t="shared" ref="D4:P4" si="7">C4</f>
        <v>8.0000000000000002E-3</v>
      </c>
      <c r="E4" s="283">
        <f t="shared" si="7"/>
        <v>8.0000000000000002E-3</v>
      </c>
      <c r="F4" s="283">
        <f t="shared" si="7"/>
        <v>8.0000000000000002E-3</v>
      </c>
      <c r="G4" s="283">
        <f t="shared" si="7"/>
        <v>8.0000000000000002E-3</v>
      </c>
      <c r="H4" s="283">
        <f t="shared" si="7"/>
        <v>8.0000000000000002E-3</v>
      </c>
      <c r="I4" s="283">
        <f t="shared" si="7"/>
        <v>8.0000000000000002E-3</v>
      </c>
      <c r="J4" s="283">
        <f t="shared" si="7"/>
        <v>8.0000000000000002E-3</v>
      </c>
      <c r="K4" s="283">
        <f t="shared" si="7"/>
        <v>8.0000000000000002E-3</v>
      </c>
      <c r="L4" s="283">
        <f t="shared" si="7"/>
        <v>8.0000000000000002E-3</v>
      </c>
      <c r="M4" s="283">
        <f t="shared" si="7"/>
        <v>8.0000000000000002E-3</v>
      </c>
      <c r="N4" s="283">
        <f t="shared" si="7"/>
        <v>8.0000000000000002E-3</v>
      </c>
      <c r="O4" s="283">
        <f t="shared" si="7"/>
        <v>8.0000000000000002E-3</v>
      </c>
      <c r="P4" s="283">
        <f t="shared" si="7"/>
        <v>8.0000000000000002E-3</v>
      </c>
    </row>
    <row r="5" spans="1:16" s="241" customFormat="1" ht="24.75" customHeight="1" x14ac:dyDescent="0.35">
      <c r="A5" s="281" t="s">
        <v>187</v>
      </c>
      <c r="B5" s="284">
        <f>SUM(B3:B4)</f>
        <v>0.33800000000000002</v>
      </c>
      <c r="C5" s="284">
        <f>SUM(C3:C4)</f>
        <v>0.33800000000000002</v>
      </c>
      <c r="D5" s="284">
        <f t="shared" ref="D5:P5" si="8">SUM(D3:D4)</f>
        <v>0.33800000000000002</v>
      </c>
      <c r="E5" s="284">
        <f t="shared" si="8"/>
        <v>0.33800000000000002</v>
      </c>
      <c r="F5" s="284">
        <f t="shared" si="8"/>
        <v>0.33800000000000002</v>
      </c>
      <c r="G5" s="284">
        <f t="shared" si="8"/>
        <v>0.33800000000000002</v>
      </c>
      <c r="H5" s="284">
        <f t="shared" si="8"/>
        <v>0.33800000000000002</v>
      </c>
      <c r="I5" s="284">
        <f t="shared" si="8"/>
        <v>0.33800000000000002</v>
      </c>
      <c r="J5" s="284">
        <f t="shared" si="8"/>
        <v>0.33800000000000002</v>
      </c>
      <c r="K5" s="284">
        <f t="shared" si="8"/>
        <v>0.33800000000000002</v>
      </c>
      <c r="L5" s="284">
        <f t="shared" si="8"/>
        <v>0.33800000000000002</v>
      </c>
      <c r="M5" s="284">
        <f t="shared" si="8"/>
        <v>0.33800000000000002</v>
      </c>
      <c r="N5" s="284">
        <f t="shared" si="8"/>
        <v>0.33800000000000002</v>
      </c>
      <c r="O5" s="284">
        <f t="shared" si="8"/>
        <v>0.33800000000000002</v>
      </c>
      <c r="P5" s="284">
        <f t="shared" si="8"/>
        <v>0.33800000000000002</v>
      </c>
    </row>
    <row r="8" spans="1:16" ht="21.75" customHeight="1" x14ac:dyDescent="0.35">
      <c r="A8" s="312" t="s">
        <v>235</v>
      </c>
    </row>
    <row r="9" spans="1:16" ht="21.75" customHeight="1" x14ac:dyDescent="0.35">
      <c r="A9" s="313" t="s">
        <v>258</v>
      </c>
    </row>
    <row r="10" spans="1:16" ht="21.75" customHeight="1" x14ac:dyDescent="0.35">
      <c r="A10" s="313"/>
    </row>
    <row r="11" spans="1:16" ht="21.75" customHeight="1" x14ac:dyDescent="0.35">
      <c r="A11" s="313"/>
    </row>
    <row r="12" spans="1:16" ht="21.75" customHeight="1" x14ac:dyDescent="0.35">
      <c r="A12" s="313"/>
    </row>
    <row r="13" spans="1:16" ht="32.25" customHeight="1" x14ac:dyDescent="0.35">
      <c r="A13" s="312" t="s">
        <v>236</v>
      </c>
    </row>
    <row r="14" spans="1:16" ht="21.75" customHeight="1" x14ac:dyDescent="0.35">
      <c r="A14" s="313" t="s">
        <v>259</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election activeCell="A19" sqref="A19"/>
    </sheetView>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216</v>
      </c>
    </row>
    <row r="2" spans="1:2" ht="5.25" customHeight="1" x14ac:dyDescent="0.35"/>
    <row r="3" spans="1:2" ht="36" customHeight="1" x14ac:dyDescent="0.35">
      <c r="A3" s="250" t="s">
        <v>217</v>
      </c>
      <c r="B3" s="311" t="s">
        <v>218</v>
      </c>
    </row>
    <row r="4" spans="1:2" ht="17.25" customHeight="1" x14ac:dyDescent="0.35">
      <c r="A4" s="103" t="s">
        <v>219</v>
      </c>
      <c r="B4" s="72" t="s">
        <v>220</v>
      </c>
    </row>
    <row r="5" spans="1:2" ht="17.25" customHeight="1" x14ac:dyDescent="0.35">
      <c r="A5" s="103" t="s">
        <v>221</v>
      </c>
      <c r="B5" s="72">
        <v>30</v>
      </c>
    </row>
    <row r="6" spans="1:2" ht="17.25" customHeight="1" x14ac:dyDescent="0.35">
      <c r="A6" s="103" t="s">
        <v>222</v>
      </c>
      <c r="B6" s="72">
        <v>30</v>
      </c>
    </row>
    <row r="7" spans="1:2" ht="17.25" customHeight="1" x14ac:dyDescent="0.35">
      <c r="A7" s="103" t="s">
        <v>223</v>
      </c>
      <c r="B7" s="72" t="s">
        <v>224</v>
      </c>
    </row>
    <row r="8" spans="1:2" ht="17.25" customHeight="1" x14ac:dyDescent="0.35">
      <c r="A8" s="103" t="s">
        <v>225</v>
      </c>
      <c r="B8" s="72">
        <v>25</v>
      </c>
    </row>
    <row r="9" spans="1:2" ht="17.25" customHeight="1" x14ac:dyDescent="0.35">
      <c r="A9" s="103" t="s">
        <v>226</v>
      </c>
      <c r="B9" s="72" t="s">
        <v>224</v>
      </c>
    </row>
    <row r="10" spans="1:2" ht="17.25" customHeight="1" x14ac:dyDescent="0.35">
      <c r="A10" s="103" t="s">
        <v>227</v>
      </c>
      <c r="B10" s="72" t="s">
        <v>224</v>
      </c>
    </row>
    <row r="11" spans="1:2" ht="17.25" customHeight="1" x14ac:dyDescent="0.35">
      <c r="A11" s="103" t="s">
        <v>228</v>
      </c>
      <c r="B11" s="72" t="s">
        <v>229</v>
      </c>
    </row>
    <row r="12" spans="1:2" ht="17.25" customHeight="1" x14ac:dyDescent="0.35">
      <c r="A12" s="103" t="s">
        <v>230</v>
      </c>
      <c r="B12" s="72" t="s">
        <v>220</v>
      </c>
    </row>
    <row r="13" spans="1:2" ht="17.25" customHeight="1" x14ac:dyDescent="0.35">
      <c r="A13" s="103" t="s">
        <v>231</v>
      </c>
      <c r="B13" s="72" t="s">
        <v>232</v>
      </c>
    </row>
    <row r="14" spans="1:2" ht="17.25" customHeight="1" x14ac:dyDescent="0.35">
      <c r="A14" s="103" t="s">
        <v>233</v>
      </c>
      <c r="B14" s="72" t="s">
        <v>232</v>
      </c>
    </row>
    <row r="16" spans="1:2" ht="38.25" customHeight="1" x14ac:dyDescent="0.35">
      <c r="A16" s="1005" t="s">
        <v>234</v>
      </c>
      <c r="B16" s="1005"/>
    </row>
  </sheetData>
  <mergeCells count="1">
    <mergeCell ref="A16:B1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59"/>
  <sheetViews>
    <sheetView showZeros="0" topLeftCell="A2" zoomScale="85" zoomScaleNormal="85" workbookViewId="0">
      <selection activeCell="D21" sqref="D21"/>
    </sheetView>
  </sheetViews>
  <sheetFormatPr defaultColWidth="9.1796875" defaultRowHeight="14" x14ac:dyDescent="0.3"/>
  <cols>
    <col min="1" max="1" width="28.1796875" style="358" customWidth="1"/>
    <col min="2" max="2" width="16" style="358" customWidth="1"/>
    <col min="3" max="3" width="16.453125" style="358" customWidth="1"/>
    <col min="4" max="4" width="15.1796875" style="358" customWidth="1"/>
    <col min="5" max="5" width="17.81640625" style="358" customWidth="1"/>
    <col min="6" max="7" width="15.453125" style="358" customWidth="1"/>
    <col min="8" max="8" width="14" style="358" customWidth="1"/>
    <col min="9" max="9" width="13.26953125" style="358" customWidth="1"/>
    <col min="10" max="10" width="17" style="358" customWidth="1"/>
    <col min="11" max="16384" width="9.1796875" style="358"/>
  </cols>
  <sheetData>
    <row r="1" spans="1:8" x14ac:dyDescent="0.3">
      <c r="A1" s="355" t="s">
        <v>264</v>
      </c>
      <c r="B1" s="355"/>
      <c r="C1" s="356"/>
      <c r="D1" s="356"/>
      <c r="E1" s="357"/>
      <c r="F1" s="357"/>
      <c r="G1" s="357"/>
      <c r="H1" s="356"/>
    </row>
    <row r="2" spans="1:8" x14ac:dyDescent="0.3">
      <c r="A2" s="355" t="s">
        <v>265</v>
      </c>
      <c r="B2" s="355"/>
      <c r="C2" s="356"/>
      <c r="D2" s="356"/>
      <c r="E2" s="359"/>
      <c r="F2" s="360"/>
      <c r="G2" s="357"/>
      <c r="H2" s="356"/>
    </row>
    <row r="3" spans="1:8" x14ac:dyDescent="0.3">
      <c r="A3" s="361" t="s">
        <v>266</v>
      </c>
      <c r="B3" s="361" t="str">
        <f>[3]Допущения!B3</f>
        <v>%</v>
      </c>
      <c r="C3" s="362">
        <v>0.5</v>
      </c>
      <c r="D3" s="363">
        <f>[3]Допущения!D3</f>
        <v>0</v>
      </c>
      <c r="E3" s="363">
        <f>[3]Допущения!E3</f>
        <v>0</v>
      </c>
      <c r="F3" s="363">
        <f>[3]Допущения!F3</f>
        <v>0</v>
      </c>
      <c r="G3" s="363">
        <f>[3]Допущения!G3</f>
        <v>0</v>
      </c>
      <c r="H3" s="363">
        <f>[3]Допущения!H3</f>
        <v>0</v>
      </c>
    </row>
    <row r="4" spans="1:8" ht="14.5" x14ac:dyDescent="0.35">
      <c r="A4" s="361" t="s">
        <v>267</v>
      </c>
      <c r="B4" s="361" t="s">
        <v>268</v>
      </c>
      <c r="C4" s="826">
        <v>5</v>
      </c>
      <c r="D4" s="363">
        <f>[3]Допущения!D4</f>
        <v>0</v>
      </c>
      <c r="E4" s="363">
        <f>[3]Допущения!E4</f>
        <v>0</v>
      </c>
      <c r="F4" s="363">
        <f>[3]Допущения!F4</f>
        <v>0</v>
      </c>
      <c r="G4" s="363">
        <f>[3]Допущения!G4</f>
        <v>0</v>
      </c>
      <c r="H4" s="363">
        <f>[3]Допущения!H4</f>
        <v>0</v>
      </c>
    </row>
    <row r="5" spans="1:8" ht="14.5" x14ac:dyDescent="0.35">
      <c r="A5" s="363">
        <f>[3]Допущения!A5</f>
        <v>0</v>
      </c>
      <c r="B5" s="363">
        <f>[3]Допущения!B5</f>
        <v>0</v>
      </c>
      <c r="C5"/>
      <c r="D5" s="363">
        <f>[3]Допущения!D5</f>
        <v>0</v>
      </c>
      <c r="E5" s="365">
        <f>[3]Допущения!E5</f>
        <v>0</v>
      </c>
      <c r="F5" s="363">
        <f>[3]Допущения!F5</f>
        <v>0</v>
      </c>
      <c r="G5" s="363">
        <f>[3]Допущения!G5</f>
        <v>0</v>
      </c>
      <c r="H5" s="363">
        <f>[3]Допущения!H5</f>
        <v>0</v>
      </c>
    </row>
    <row r="6" spans="1:8" ht="14.5" x14ac:dyDescent="0.35">
      <c r="A6" s="366" t="s">
        <v>269</v>
      </c>
      <c r="B6" s="366"/>
      <c r="C6"/>
      <c r="D6" s="367"/>
      <c r="E6" s="365">
        <f>[3]Допущения!E6</f>
        <v>0</v>
      </c>
      <c r="F6" s="363">
        <f>[3]Допущения!F6</f>
        <v>0</v>
      </c>
      <c r="G6" s="363">
        <f>[3]Допущения!G6</f>
        <v>0</v>
      </c>
      <c r="H6" s="363">
        <f>[3]Допущения!H6</f>
        <v>0</v>
      </c>
    </row>
    <row r="7" spans="1:8" ht="14.5" x14ac:dyDescent="0.35">
      <c r="A7" s="368" t="s">
        <v>270</v>
      </c>
      <c r="B7" s="361" t="s">
        <v>271</v>
      </c>
      <c r="C7" s="826">
        <v>60</v>
      </c>
      <c r="D7" s="367"/>
      <c r="E7" s="365">
        <f>[3]Допущения!E7</f>
        <v>0</v>
      </c>
      <c r="F7" s="363">
        <f>[3]Допущения!F7</f>
        <v>0</v>
      </c>
      <c r="G7" s="363">
        <f>[3]Допущения!G7</f>
        <v>0</v>
      </c>
      <c r="H7" s="363">
        <f>[3]Допущения!H7</f>
        <v>0</v>
      </c>
    </row>
    <row r="8" spans="1:8" ht="14.5" x14ac:dyDescent="0.35">
      <c r="A8" s="368" t="s">
        <v>272</v>
      </c>
      <c r="B8" s="361" t="s">
        <v>273</v>
      </c>
      <c r="C8" s="826">
        <f>0.18+0.18*0.3</f>
        <v>0.23399999999999999</v>
      </c>
      <c r="D8" s="369"/>
      <c r="E8" s="365">
        <f>[3]Допущения!E8</f>
        <v>0</v>
      </c>
      <c r="F8" s="363">
        <f>[3]Допущения!F8</f>
        <v>0</v>
      </c>
      <c r="G8" s="363">
        <f>[3]Допущения!G8</f>
        <v>0</v>
      </c>
      <c r="H8" s="363">
        <f>[3]Допущения!H8</f>
        <v>0</v>
      </c>
    </row>
    <row r="9" spans="1:8" ht="14.5" x14ac:dyDescent="0.35">
      <c r="A9" s="368" t="s">
        <v>274</v>
      </c>
      <c r="B9" s="361" t="s">
        <v>275</v>
      </c>
      <c r="C9" s="826">
        <v>1.9</v>
      </c>
      <c r="D9" s="367"/>
      <c r="E9" s="365">
        <f>[3]Допущения!E9</f>
        <v>0</v>
      </c>
      <c r="F9" s="363">
        <f>[3]Допущения!F9</f>
        <v>0</v>
      </c>
      <c r="G9" s="363">
        <f>[3]Допущения!G9</f>
        <v>0</v>
      </c>
      <c r="H9" s="363">
        <f>[3]Допущения!H9</f>
        <v>0</v>
      </c>
    </row>
    <row r="10" spans="1:8" x14ac:dyDescent="0.3">
      <c r="A10" s="363">
        <f>[3]Допущения!A10</f>
        <v>0</v>
      </c>
      <c r="B10" s="363">
        <f>[3]Допущения!B10</f>
        <v>0</v>
      </c>
      <c r="C10" s="363">
        <f>[3]Допущения!C10</f>
        <v>0</v>
      </c>
      <c r="D10" s="363">
        <f>[3]Допущения!D10</f>
        <v>0</v>
      </c>
      <c r="E10" s="365">
        <f>[3]Допущения!E10</f>
        <v>0</v>
      </c>
      <c r="F10" s="363">
        <f>[3]Допущения!F10</f>
        <v>0</v>
      </c>
      <c r="G10" s="363">
        <f>[3]Допущения!G10</f>
        <v>0</v>
      </c>
      <c r="H10" s="363">
        <f>[3]Допущения!H10</f>
        <v>0</v>
      </c>
    </row>
    <row r="11" spans="1:8" x14ac:dyDescent="0.3">
      <c r="A11" s="366" t="s">
        <v>276</v>
      </c>
      <c r="B11" s="366"/>
      <c r="C11" s="363"/>
      <c r="D11" s="363">
        <v>0</v>
      </c>
      <c r="E11" s="365">
        <f>[3]Допущения!E11</f>
        <v>0</v>
      </c>
      <c r="F11" s="363">
        <f>[3]Допущения!F11</f>
        <v>0</v>
      </c>
      <c r="G11" s="363">
        <f>[3]Допущения!G11</f>
        <v>0</v>
      </c>
      <c r="H11" s="363">
        <f>[3]Допущения!H11</f>
        <v>0</v>
      </c>
    </row>
    <row r="12" spans="1:8" ht="28" x14ac:dyDescent="0.3">
      <c r="A12" s="370">
        <v>0</v>
      </c>
      <c r="B12" s="371" t="s">
        <v>2</v>
      </c>
      <c r="C12" s="372" t="s">
        <v>277</v>
      </c>
      <c r="D12" s="371" t="s">
        <v>278</v>
      </c>
      <c r="E12" s="365"/>
      <c r="F12" s="363"/>
      <c r="G12" s="363"/>
      <c r="H12" s="363"/>
    </row>
    <row r="13" spans="1:8" x14ac:dyDescent="0.3">
      <c r="A13" s="368" t="s">
        <v>270</v>
      </c>
      <c r="B13" s="373"/>
      <c r="C13" s="374"/>
      <c r="D13" s="375"/>
      <c r="E13" s="365"/>
      <c r="F13" s="363"/>
      <c r="G13" s="363"/>
      <c r="H13" s="363"/>
    </row>
    <row r="14" spans="1:8" x14ac:dyDescent="0.3">
      <c r="A14" s="376" t="s">
        <v>279</v>
      </c>
      <c r="B14" s="361" t="s">
        <v>280</v>
      </c>
      <c r="C14" s="377">
        <v>11.6</v>
      </c>
      <c r="D14" s="377">
        <v>8.6999999999999993</v>
      </c>
      <c r="E14" s="365"/>
      <c r="F14" s="363"/>
      <c r="G14" s="378"/>
      <c r="H14" s="363"/>
    </row>
    <row r="15" spans="1:8" x14ac:dyDescent="0.3">
      <c r="A15" s="376" t="s">
        <v>281</v>
      </c>
      <c r="B15" s="361" t="s">
        <v>280</v>
      </c>
      <c r="C15" s="377">
        <v>11.6</v>
      </c>
      <c r="D15" s="377">
        <v>11.6</v>
      </c>
      <c r="E15" s="365">
        <f>[3]Допущения!E15</f>
        <v>0</v>
      </c>
      <c r="F15" s="363">
        <f>[3]Допущения!F15</f>
        <v>0</v>
      </c>
      <c r="G15" s="363">
        <f>[3]Допущения!G15</f>
        <v>0</v>
      </c>
      <c r="H15" s="363">
        <f>[3]Допущения!H15</f>
        <v>0</v>
      </c>
    </row>
    <row r="16" spans="1:8" x14ac:dyDescent="0.3">
      <c r="A16" s="368" t="s">
        <v>30</v>
      </c>
      <c r="B16" s="368">
        <v>0</v>
      </c>
      <c r="C16" s="364">
        <f>[3]Допущения!C16</f>
        <v>0</v>
      </c>
      <c r="D16" s="363">
        <f>[3]Допущения!D16</f>
        <v>0</v>
      </c>
      <c r="E16" s="365">
        <f>[3]Допущения!E16</f>
        <v>0</v>
      </c>
      <c r="F16" s="363">
        <f>[3]Допущения!F16</f>
        <v>0</v>
      </c>
      <c r="G16" s="363">
        <f>[3]Допущения!G16</f>
        <v>0</v>
      </c>
      <c r="H16" s="363">
        <f>[3]Допущения!H16</f>
        <v>0</v>
      </c>
    </row>
    <row r="17" spans="1:8" x14ac:dyDescent="0.3">
      <c r="A17" s="379" t="s">
        <v>282</v>
      </c>
      <c r="B17" s="380" t="s">
        <v>283</v>
      </c>
      <c r="C17" s="364">
        <v>70</v>
      </c>
      <c r="D17" s="363">
        <f>[3]Допущения!D17</f>
        <v>0</v>
      </c>
      <c r="E17" s="365">
        <f>[3]Допущения!E17</f>
        <v>0</v>
      </c>
      <c r="F17" s="363">
        <f>[3]Допущения!F17</f>
        <v>0</v>
      </c>
      <c r="G17" s="363">
        <f>[3]Допущения!G17</f>
        <v>0</v>
      </c>
      <c r="H17" s="363">
        <f>[3]Допущения!H17</f>
        <v>0</v>
      </c>
    </row>
    <row r="18" spans="1:8" ht="28" hidden="1" x14ac:dyDescent="0.3">
      <c r="A18" s="381">
        <f>[3]Допущения!A18</f>
        <v>0</v>
      </c>
      <c r="B18" s="380" t="s">
        <v>284</v>
      </c>
      <c r="C18" s="377">
        <f>[3]Допущения!C18</f>
        <v>0.11878701488231595</v>
      </c>
      <c r="D18" s="363">
        <f>[3]Допущения!D18</f>
        <v>0</v>
      </c>
      <c r="E18" s="365">
        <f>[3]Допущения!E18</f>
        <v>0</v>
      </c>
      <c r="F18" s="363">
        <f>[3]Допущения!F18</f>
        <v>0</v>
      </c>
      <c r="G18" s="363">
        <f>[3]Допущения!G18</f>
        <v>0</v>
      </c>
      <c r="H18" s="363">
        <f>[3]Допущения!H18</f>
        <v>0</v>
      </c>
    </row>
    <row r="19" spans="1:8" x14ac:dyDescent="0.3">
      <c r="A19" s="382" t="s">
        <v>285</v>
      </c>
      <c r="B19" s="383">
        <v>0</v>
      </c>
      <c r="C19" s="364">
        <f>[3]Допущения!C19</f>
        <v>0</v>
      </c>
      <c r="D19" s="363">
        <f>[3]Допущения!D19</f>
        <v>0</v>
      </c>
      <c r="E19" s="365">
        <f>[3]Допущения!E19</f>
        <v>0</v>
      </c>
      <c r="F19" s="363">
        <f>[3]Допущения!F19</f>
        <v>0</v>
      </c>
      <c r="G19" s="363">
        <f>[3]Допущения!G19</f>
        <v>0</v>
      </c>
      <c r="H19" s="363">
        <f>[3]Допущения!H19</f>
        <v>0</v>
      </c>
    </row>
    <row r="20" spans="1:8" ht="14.5" x14ac:dyDescent="0.35">
      <c r="A20" s="376" t="s">
        <v>279</v>
      </c>
      <c r="B20" s="380" t="s">
        <v>286</v>
      </c>
      <c r="C20" s="827">
        <v>10</v>
      </c>
      <c r="D20"/>
      <c r="E20" s="365">
        <f>[3]Допущения!E20</f>
        <v>0</v>
      </c>
      <c r="F20" s="363">
        <f>[3]Допущения!F20</f>
        <v>0</v>
      </c>
      <c r="G20" s="363">
        <f>[3]Допущения!G20</f>
        <v>0</v>
      </c>
      <c r="H20" s="363">
        <f>[3]Допущения!H20</f>
        <v>0</v>
      </c>
    </row>
    <row r="21" spans="1:8" ht="28.5" x14ac:dyDescent="0.35">
      <c r="A21" s="376" t="s">
        <v>287</v>
      </c>
      <c r="B21" s="380" t="s">
        <v>286</v>
      </c>
      <c r="C21" s="827">
        <v>4</v>
      </c>
      <c r="D21" s="905">
        <v>11.2</v>
      </c>
      <c r="E21" s="365">
        <f>[3]Допущения!E21</f>
        <v>0</v>
      </c>
      <c r="F21" s="363">
        <f>[3]Допущения!F21</f>
        <v>0</v>
      </c>
      <c r="G21" s="363">
        <f>[3]Допущения!G21</f>
        <v>0</v>
      </c>
      <c r="H21" s="363">
        <f>[3]Допущения!H21</f>
        <v>0</v>
      </c>
    </row>
    <row r="22" spans="1:8" ht="33" customHeight="1" x14ac:dyDescent="0.35">
      <c r="A22" s="368" t="s">
        <v>274</v>
      </c>
      <c r="B22" s="373" t="s">
        <v>288</v>
      </c>
      <c r="C22" s="826">
        <f>80*21/1000</f>
        <v>1.68</v>
      </c>
      <c r="D22"/>
      <c r="E22" s="365">
        <f>[3]Допущения!E22</f>
        <v>0</v>
      </c>
      <c r="F22" s="363">
        <f>[3]Допущения!F22</f>
        <v>0</v>
      </c>
      <c r="G22" s="363">
        <f>[3]Допущения!G22</f>
        <v>0</v>
      </c>
      <c r="H22" s="363">
        <f>[3]Допущения!H22</f>
        <v>0</v>
      </c>
    </row>
    <row r="23" spans="1:8" ht="36" customHeight="1" x14ac:dyDescent="0.35">
      <c r="A23" s="382" t="s">
        <v>289</v>
      </c>
      <c r="B23" s="373" t="s">
        <v>288</v>
      </c>
      <c r="C23" s="826">
        <f>C22*0.6</f>
        <v>1.008</v>
      </c>
      <c r="D23"/>
      <c r="E23" s="365">
        <f>[3]Допущения!E23</f>
        <v>0</v>
      </c>
      <c r="F23" s="363">
        <f>[3]Допущения!F23</f>
        <v>0</v>
      </c>
      <c r="G23" s="363">
        <f>[3]Допущения!G23</f>
        <v>0</v>
      </c>
      <c r="H23" s="363">
        <f>[3]Допущения!H23</f>
        <v>0</v>
      </c>
    </row>
    <row r="24" spans="1:8" ht="33.75" customHeight="1" x14ac:dyDescent="0.35">
      <c r="A24" s="382" t="s">
        <v>290</v>
      </c>
      <c r="B24" s="373" t="s">
        <v>288</v>
      </c>
      <c r="C24" s="826">
        <f>C22*0.4</f>
        <v>0.67200000000000004</v>
      </c>
      <c r="D24"/>
      <c r="E24" s="365">
        <f>[3]Допущения!E24</f>
        <v>0</v>
      </c>
      <c r="F24" s="363">
        <f>[3]Допущения!F24</f>
        <v>0</v>
      </c>
      <c r="G24" s="363">
        <f>[3]Допущения!G24</f>
        <v>0</v>
      </c>
      <c r="H24" s="363">
        <f>[3]Допущения!H24</f>
        <v>0</v>
      </c>
    </row>
    <row r="25" spans="1:8" ht="35.25" customHeight="1" x14ac:dyDescent="0.35">
      <c r="A25" s="368" t="s">
        <v>291</v>
      </c>
      <c r="B25" s="373" t="s">
        <v>292</v>
      </c>
      <c r="C25" s="828">
        <v>0.49199999999999999</v>
      </c>
      <c r="D25"/>
      <c r="E25" s="365"/>
      <c r="F25" s="363"/>
      <c r="G25" s="363"/>
      <c r="H25" s="363"/>
    </row>
    <row r="26" spans="1:8" x14ac:dyDescent="0.3">
      <c r="A26" s="363">
        <f>[3]Допущения!A26</f>
        <v>0</v>
      </c>
      <c r="B26" s="363">
        <f>[3]Допущения!B26</f>
        <v>0</v>
      </c>
      <c r="C26" s="363">
        <f>[3]Допущения!C26</f>
        <v>0</v>
      </c>
      <c r="D26" s="363">
        <f>[3]Допущения!D26</f>
        <v>0</v>
      </c>
      <c r="E26" s="365"/>
      <c r="F26" s="363"/>
      <c r="G26" s="384"/>
      <c r="H26" s="363"/>
    </row>
    <row r="27" spans="1:8" ht="18.75" customHeight="1" x14ac:dyDescent="0.3">
      <c r="A27" s="366" t="s">
        <v>293</v>
      </c>
      <c r="B27" s="385"/>
      <c r="C27" s="386"/>
      <c r="D27" s="386"/>
      <c r="E27" s="387"/>
      <c r="F27" s="363">
        <f>[3]Допущения!F27</f>
        <v>0</v>
      </c>
      <c r="G27" s="363">
        <f>[3]Допущения!G27</f>
        <v>0</v>
      </c>
      <c r="H27" s="363">
        <f>[3]Допущения!H27</f>
        <v>0</v>
      </c>
    </row>
    <row r="28" spans="1:8" ht="18.75" customHeight="1" x14ac:dyDescent="0.3">
      <c r="A28" s="388" t="s">
        <v>294</v>
      </c>
      <c r="B28" s="1006" t="s">
        <v>2</v>
      </c>
      <c r="C28" s="1006" t="s">
        <v>295</v>
      </c>
      <c r="D28" s="1006" t="s">
        <v>296</v>
      </c>
      <c r="E28" s="1008" t="s">
        <v>297</v>
      </c>
      <c r="F28" s="363">
        <f>[3]Допущения!F28</f>
        <v>0</v>
      </c>
      <c r="G28" s="363">
        <f>[3]Допущения!G28</f>
        <v>0</v>
      </c>
      <c r="H28" s="363">
        <f>[3]Допущения!H28</f>
        <v>0</v>
      </c>
    </row>
    <row r="29" spans="1:8" x14ac:dyDescent="0.3">
      <c r="A29" s="389">
        <v>0</v>
      </c>
      <c r="B29" s="1007"/>
      <c r="C29" s="1007"/>
      <c r="D29" s="1007"/>
      <c r="E29" s="1009"/>
      <c r="F29" s="363">
        <f>[3]Допущения!F29</f>
        <v>0</v>
      </c>
      <c r="G29" s="363">
        <f>[3]Допущения!G29</f>
        <v>0</v>
      </c>
      <c r="H29" s="363">
        <f>[3]Допущения!H29</f>
        <v>0</v>
      </c>
    </row>
    <row r="30" spans="1:8" x14ac:dyDescent="0.3">
      <c r="A30" s="361" t="s">
        <v>279</v>
      </c>
      <c r="B30" s="361" t="str">
        <f>[3]Допущения!B30</f>
        <v>m2</v>
      </c>
      <c r="C30" s="390">
        <f>Помещения!D57*Sisendandmed!C3</f>
        <v>2946.4500000000016</v>
      </c>
      <c r="D30" s="390">
        <f>Помещения!C57-E30-C30</f>
        <v>0</v>
      </c>
      <c r="E30" s="390">
        <f>Помещения!D57-C30</f>
        <v>2946.4500000000016</v>
      </c>
      <c r="F30" s="363">
        <f>[3]Допущения!F30</f>
        <v>0</v>
      </c>
      <c r="G30" s="363">
        <f>[3]Допущения!G30</f>
        <v>0</v>
      </c>
      <c r="H30" s="363">
        <f>[3]Допущения!H30</f>
        <v>0</v>
      </c>
    </row>
    <row r="31" spans="1:8" x14ac:dyDescent="0.3">
      <c r="A31" s="361" t="s">
        <v>281</v>
      </c>
      <c r="B31" s="361" t="str">
        <f>[3]Допущения!B31</f>
        <v>m2</v>
      </c>
      <c r="C31" s="391">
        <f>Помещения!D52*Sisendandmed!C3</f>
        <v>137.64999999999998</v>
      </c>
      <c r="D31" s="390">
        <f>Помещения!C52-E31-C31</f>
        <v>468.70000000000016</v>
      </c>
      <c r="E31" s="391">
        <f>Помещения!D52-C31</f>
        <v>137.64999999999998</v>
      </c>
      <c r="F31" s="363">
        <f>[3]Допущения!F31</f>
        <v>0</v>
      </c>
      <c r="G31" s="363">
        <f>[3]Допущения!G31</f>
        <v>0</v>
      </c>
      <c r="H31" s="363">
        <f>[3]Допущения!H31</f>
        <v>0</v>
      </c>
    </row>
    <row r="32" spans="1:8" x14ac:dyDescent="0.3">
      <c r="A32" s="363">
        <f>[3]Допущения!A32</f>
        <v>0</v>
      </c>
      <c r="B32" s="363">
        <f>[3]Допущения!B32</f>
        <v>0</v>
      </c>
      <c r="C32" s="363">
        <f>[3]Допущения!C32</f>
        <v>0</v>
      </c>
      <c r="D32" s="363">
        <f>[3]Допущения!D32</f>
        <v>0</v>
      </c>
      <c r="E32" s="365">
        <f>[3]Допущения!E32</f>
        <v>0</v>
      </c>
      <c r="F32" s="363">
        <f>[3]Допущения!F32</f>
        <v>0</v>
      </c>
      <c r="G32" s="363">
        <f>[3]Допущения!G32</f>
        <v>0</v>
      </c>
      <c r="H32" s="363">
        <f>[3]Допущения!H32</f>
        <v>0</v>
      </c>
    </row>
    <row r="33" spans="1:8" x14ac:dyDescent="0.3">
      <c r="A33" s="366" t="s">
        <v>298</v>
      </c>
      <c r="B33" s="363">
        <v>0</v>
      </c>
      <c r="C33" s="363">
        <v>0</v>
      </c>
      <c r="D33" s="363">
        <v>0</v>
      </c>
      <c r="E33" s="365">
        <v>0</v>
      </c>
      <c r="F33" s="363">
        <f>[3]Допущения!F33</f>
        <v>0</v>
      </c>
      <c r="G33" s="366" t="s">
        <v>299</v>
      </c>
      <c r="H33" s="363"/>
    </row>
    <row r="34" spans="1:8" ht="42" x14ac:dyDescent="0.3">
      <c r="A34" s="392" t="s">
        <v>300</v>
      </c>
      <c r="B34" s="392" t="s">
        <v>2</v>
      </c>
      <c r="C34" s="372" t="s">
        <v>301</v>
      </c>
      <c r="D34" s="393" t="s">
        <v>302</v>
      </c>
      <c r="E34" s="393" t="s">
        <v>303</v>
      </c>
      <c r="F34" s="363">
        <f>[3]Допущения!F34</f>
        <v>0</v>
      </c>
      <c r="G34" s="372" t="s">
        <v>304</v>
      </c>
      <c r="H34" s="372" t="s">
        <v>305</v>
      </c>
    </row>
    <row r="35" spans="1:8" ht="14.5" x14ac:dyDescent="0.35">
      <c r="A35" s="380" t="s">
        <v>306</v>
      </c>
      <c r="B35" s="361" t="s">
        <v>307</v>
      </c>
      <c r="C35" s="826">
        <v>1.2</v>
      </c>
      <c r="D35" s="826">
        <f>C35*8</f>
        <v>9.6</v>
      </c>
      <c r="E35" s="829">
        <f>D35*250</f>
        <v>2400</v>
      </c>
      <c r="F35"/>
      <c r="G35" s="826">
        <v>16</v>
      </c>
      <c r="H35" s="826">
        <f>G35*250</f>
        <v>4000</v>
      </c>
    </row>
    <row r="36" spans="1:8" ht="14.5" x14ac:dyDescent="0.35">
      <c r="A36" s="380" t="s">
        <v>308</v>
      </c>
      <c r="B36" s="361" t="s">
        <v>307</v>
      </c>
      <c r="C36" s="826">
        <v>1</v>
      </c>
      <c r="D36" s="826">
        <f>C36*8</f>
        <v>8</v>
      </c>
      <c r="E36" s="829">
        <f>D36*250</f>
        <v>2000</v>
      </c>
      <c r="F36"/>
      <c r="G36" s="826">
        <v>3</v>
      </c>
      <c r="H36" s="826">
        <f>G36*250</f>
        <v>750</v>
      </c>
    </row>
    <row r="37" spans="1:8" ht="14.5" x14ac:dyDescent="0.35">
      <c r="A37" s="380" t="s">
        <v>309</v>
      </c>
      <c r="B37" s="361">
        <v>0</v>
      </c>
      <c r="C37" s="826">
        <v>1.25</v>
      </c>
      <c r="D37" s="826">
        <f>C37*8</f>
        <v>10</v>
      </c>
      <c r="E37" s="829">
        <f>D37*250</f>
        <v>2500</v>
      </c>
      <c r="F37"/>
      <c r="G37" s="826">
        <v>3</v>
      </c>
      <c r="H37" s="826">
        <f>G37*250</f>
        <v>750</v>
      </c>
    </row>
    <row r="38" spans="1:8" x14ac:dyDescent="0.3">
      <c r="A38" s="363">
        <f>[3]Допущения!A38</f>
        <v>0</v>
      </c>
      <c r="B38" s="363">
        <f>[3]Допущения!B38</f>
        <v>0</v>
      </c>
      <c r="C38" s="363">
        <f>[3]Допущения!C38</f>
        <v>0</v>
      </c>
      <c r="D38" s="363">
        <f>[3]Допущения!D38</f>
        <v>0</v>
      </c>
      <c r="E38" s="365">
        <f>[3]Допущения!E38</f>
        <v>0</v>
      </c>
      <c r="F38" s="363">
        <f>[3]Допущения!F38</f>
        <v>0</v>
      </c>
      <c r="G38" s="363">
        <f>[3]Допущения!G38</f>
        <v>0</v>
      </c>
      <c r="H38" s="363">
        <f>[3]Допущения!H38</f>
        <v>0</v>
      </c>
    </row>
    <row r="39" spans="1:8" x14ac:dyDescent="0.3">
      <c r="A39" s="366" t="s">
        <v>310</v>
      </c>
      <c r="B39" s="363">
        <v>0</v>
      </c>
      <c r="C39" s="363">
        <v>0</v>
      </c>
      <c r="D39" s="363">
        <v>0</v>
      </c>
      <c r="E39" s="363">
        <v>0</v>
      </c>
      <c r="F39" s="363">
        <v>0</v>
      </c>
      <c r="G39" s="363">
        <v>0</v>
      </c>
      <c r="H39" s="363">
        <f>[3]Допущения!H39</f>
        <v>0</v>
      </c>
    </row>
    <row r="40" spans="1:8" ht="28" x14ac:dyDescent="0.3">
      <c r="A40" s="392" t="s">
        <v>311</v>
      </c>
      <c r="B40" s="394">
        <v>0</v>
      </c>
      <c r="C40" s="372" t="s">
        <v>312</v>
      </c>
      <c r="D40" s="372" t="s">
        <v>313</v>
      </c>
      <c r="E40" s="372" t="s">
        <v>314</v>
      </c>
      <c r="F40" s="372" t="s">
        <v>315</v>
      </c>
      <c r="G40" s="372" t="s">
        <v>316</v>
      </c>
      <c r="H40" s="363">
        <f>[3]Допущения!H40</f>
        <v>0</v>
      </c>
    </row>
    <row r="41" spans="1:8" ht="14.5" x14ac:dyDescent="0.35">
      <c r="A41" s="361" t="s">
        <v>317</v>
      </c>
      <c r="B41" s="361">
        <f>[3]Допущения!B41</f>
        <v>0</v>
      </c>
      <c r="C41" s="826">
        <f>10*C3</f>
        <v>5</v>
      </c>
      <c r="D41" s="826">
        <v>14</v>
      </c>
      <c r="E41" s="826">
        <f>D41*C35</f>
        <v>16.8</v>
      </c>
      <c r="F41" s="826">
        <v>5</v>
      </c>
      <c r="G41" s="826">
        <f>E41+F41</f>
        <v>21.8</v>
      </c>
      <c r="H41" s="363">
        <f>[3]Допущения!H41</f>
        <v>0</v>
      </c>
    </row>
    <row r="42" spans="1:8" ht="14.5" x14ac:dyDescent="0.35">
      <c r="A42" s="361" t="s">
        <v>318</v>
      </c>
      <c r="B42" s="361">
        <f>[3]Допущения!B42</f>
        <v>0</v>
      </c>
      <c r="C42" s="826">
        <v>3</v>
      </c>
      <c r="D42" s="826"/>
      <c r="E42" s="826"/>
      <c r="F42" s="826">
        <v>2</v>
      </c>
      <c r="G42" s="826">
        <f>F42</f>
        <v>2</v>
      </c>
      <c r="H42" s="363">
        <f>[3]Допущения!H42</f>
        <v>0</v>
      </c>
    </row>
    <row r="43" spans="1:8" ht="14.5" x14ac:dyDescent="0.35">
      <c r="A43" s="361" t="s">
        <v>319</v>
      </c>
      <c r="B43" s="361">
        <f>[3]Допущения!B43</f>
        <v>0</v>
      </c>
      <c r="C43" s="826">
        <f>SUM(C41:C42)</f>
        <v>8</v>
      </c>
      <c r="D43" s="826">
        <f>SUM(D41:D42)</f>
        <v>14</v>
      </c>
      <c r="E43" s="826">
        <f t="shared" ref="E43" si="0">SUM(E41:E42)</f>
        <v>16.8</v>
      </c>
      <c r="F43" s="826"/>
      <c r="G43" s="826"/>
      <c r="H43" s="363">
        <f>[3]Допущения!H43</f>
        <v>0</v>
      </c>
    </row>
    <row r="44" spans="1:8" x14ac:dyDescent="0.3">
      <c r="A44" s="363">
        <f>[3]Допущения!A44</f>
        <v>0</v>
      </c>
      <c r="B44" s="363">
        <f>[3]Допущения!B44</f>
        <v>0</v>
      </c>
      <c r="C44" s="363">
        <f>[3]Допущения!C44</f>
        <v>0</v>
      </c>
      <c r="D44" s="363">
        <f>[3]Допущения!D44</f>
        <v>0</v>
      </c>
      <c r="E44" s="365">
        <f>[3]Допущения!E44</f>
        <v>0</v>
      </c>
      <c r="F44" s="363">
        <f>[3]Допущения!F44</f>
        <v>0</v>
      </c>
      <c r="G44" s="363">
        <f>[3]Допущения!G44</f>
        <v>0</v>
      </c>
      <c r="H44" s="363">
        <f>[3]Допущения!H44</f>
        <v>0</v>
      </c>
    </row>
    <row r="45" spans="1:8" x14ac:dyDescent="0.3">
      <c r="A45" s="392" t="s">
        <v>311</v>
      </c>
      <c r="B45" s="395" t="s">
        <v>2</v>
      </c>
      <c r="C45" s="372" t="s">
        <v>320</v>
      </c>
      <c r="D45" s="396" t="s">
        <v>321</v>
      </c>
      <c r="E45" s="372" t="s">
        <v>322</v>
      </c>
      <c r="F45" s="363">
        <f>[3]Допущения!F45</f>
        <v>0</v>
      </c>
      <c r="G45" s="363">
        <f>[3]Допущения!G45</f>
        <v>0</v>
      </c>
      <c r="H45" s="363">
        <f>[3]Допущения!H45</f>
        <v>0</v>
      </c>
    </row>
    <row r="46" spans="1:8" ht="14.5" x14ac:dyDescent="0.35">
      <c r="A46" s="361" t="str">
        <f>A41</f>
        <v>Tootmisettevõte</v>
      </c>
      <c r="B46" s="397" t="s">
        <v>323</v>
      </c>
      <c r="C46" s="826">
        <f>C41*G41</f>
        <v>109</v>
      </c>
      <c r="D46" s="826">
        <f>C41*E41</f>
        <v>84</v>
      </c>
      <c r="E46" s="826">
        <f>C41*F41</f>
        <v>25</v>
      </c>
      <c r="F46" s="363">
        <f>[3]Допущения!F46</f>
        <v>0</v>
      </c>
      <c r="G46" s="363">
        <f>[3]Допущения!G46</f>
        <v>0</v>
      </c>
      <c r="H46" s="363">
        <f>[3]Допущения!H46</f>
        <v>0</v>
      </c>
    </row>
    <row r="47" spans="1:8" ht="14.5" x14ac:dyDescent="0.35">
      <c r="A47" s="361" t="str">
        <f>A42</f>
        <v>Teenindusettevõte</v>
      </c>
      <c r="B47" s="397" t="s">
        <v>323</v>
      </c>
      <c r="C47" s="826">
        <f>C42*G42</f>
        <v>6</v>
      </c>
      <c r="D47" s="826"/>
      <c r="E47" s="826">
        <f>C47</f>
        <v>6</v>
      </c>
      <c r="F47" s="363">
        <f>[3]Допущения!F47</f>
        <v>0</v>
      </c>
      <c r="G47" s="363">
        <f>[3]Допущения!G47</f>
        <v>0</v>
      </c>
      <c r="H47" s="363">
        <f>[3]Допущения!H47</f>
        <v>0</v>
      </c>
    </row>
    <row r="48" spans="1:8" ht="14.5" x14ac:dyDescent="0.35">
      <c r="A48" s="361" t="str">
        <f>A43</f>
        <v>Kokku</v>
      </c>
      <c r="B48" s="397" t="s">
        <v>323</v>
      </c>
      <c r="C48" s="826">
        <f>SUM(C46:C47)</f>
        <v>115</v>
      </c>
      <c r="D48" s="826">
        <f>SUM(D46:D47)</f>
        <v>84</v>
      </c>
      <c r="E48" s="826">
        <f>SUM(E46:E47)</f>
        <v>31</v>
      </c>
      <c r="F48" s="363">
        <f>[3]Допущения!F48</f>
        <v>0</v>
      </c>
      <c r="G48" s="363">
        <f>[3]Допущения!G48</f>
        <v>0</v>
      </c>
      <c r="H48" s="363">
        <f>[3]Допущения!H48</f>
        <v>0</v>
      </c>
    </row>
    <row r="49" spans="1:8" x14ac:dyDescent="0.3">
      <c r="A49" s="363">
        <f>[3]Допущения!A49</f>
        <v>0</v>
      </c>
      <c r="B49" s="363">
        <f>[3]Допущения!B49</f>
        <v>0</v>
      </c>
      <c r="C49" s="363">
        <f>[3]Допущения!C49</f>
        <v>0</v>
      </c>
      <c r="D49" s="363">
        <f>[3]Допущения!D49</f>
        <v>0</v>
      </c>
      <c r="E49" s="365">
        <f>[3]Допущения!E49</f>
        <v>0</v>
      </c>
      <c r="F49" s="363">
        <f>[3]Допущения!F49</f>
        <v>0</v>
      </c>
      <c r="G49" s="363">
        <f>[3]Допущения!G49</f>
        <v>0</v>
      </c>
      <c r="H49" s="363">
        <f>[3]Допущения!H49</f>
        <v>0</v>
      </c>
    </row>
    <row r="50" spans="1:8" x14ac:dyDescent="0.3">
      <c r="A50" s="366" t="s">
        <v>324</v>
      </c>
      <c r="B50" s="363">
        <v>0</v>
      </c>
      <c r="C50" s="363">
        <f>[3]Допущения!C50</f>
        <v>0</v>
      </c>
      <c r="D50" s="363">
        <f>[3]Допущения!D50</f>
        <v>0</v>
      </c>
      <c r="E50" s="365">
        <f>[3]Допущения!E50</f>
        <v>0</v>
      </c>
      <c r="F50" s="363">
        <f>[3]Допущения!F50</f>
        <v>0</v>
      </c>
      <c r="G50" s="363">
        <f>[3]Допущения!G50</f>
        <v>0</v>
      </c>
      <c r="H50" s="363">
        <f>[3]Допущения!H50</f>
        <v>0</v>
      </c>
    </row>
    <row r="51" spans="1:8" ht="42.5" x14ac:dyDescent="0.35">
      <c r="A51" s="398" t="s">
        <v>325</v>
      </c>
      <c r="B51" s="398" t="s">
        <v>326</v>
      </c>
      <c r="C51" s="830">
        <v>5000</v>
      </c>
      <c r="D51" s="399">
        <f>[3]Допущения!D51</f>
        <v>0</v>
      </c>
      <c r="E51" s="365">
        <f>[3]Допущения!E51</f>
        <v>0</v>
      </c>
      <c r="F51" s="363">
        <f>[3]Допущения!F51</f>
        <v>0</v>
      </c>
      <c r="G51" s="363">
        <f>[3]Допущения!G51</f>
        <v>0</v>
      </c>
      <c r="H51" s="363">
        <f>[3]Допущения!H51</f>
        <v>0</v>
      </c>
    </row>
    <row r="52" spans="1:8" ht="42.5" x14ac:dyDescent="0.35">
      <c r="A52" s="398" t="s">
        <v>327</v>
      </c>
      <c r="B52" s="398" t="s">
        <v>328</v>
      </c>
      <c r="C52" s="831">
        <v>1</v>
      </c>
      <c r="D52" s="399">
        <f>[3]Допущения!D52</f>
        <v>0</v>
      </c>
      <c r="E52" s="365">
        <f>[3]Допущения!E52</f>
        <v>0</v>
      </c>
      <c r="F52" s="363">
        <f>[3]Допущения!F52</f>
        <v>0</v>
      </c>
      <c r="G52" s="363">
        <f>[3]Допущения!G52</f>
        <v>0</v>
      </c>
      <c r="H52" s="363">
        <f>[3]Допущения!H52</f>
        <v>0</v>
      </c>
    </row>
    <row r="53" spans="1:8" ht="28.5" x14ac:dyDescent="0.35">
      <c r="A53" s="380" t="s">
        <v>329</v>
      </c>
      <c r="B53" s="380" t="s">
        <v>330</v>
      </c>
      <c r="C53" s="831">
        <v>5000</v>
      </c>
      <c r="D53" s="399">
        <f>[3]Допущения!D53</f>
        <v>0</v>
      </c>
      <c r="E53" s="365">
        <f>[3]Допущения!E53</f>
        <v>0</v>
      </c>
      <c r="F53" s="363">
        <f>[3]Допущения!F53</f>
        <v>0</v>
      </c>
      <c r="G53" s="363">
        <f>[3]Допущения!G53</f>
        <v>0</v>
      </c>
      <c r="H53" s="363">
        <f>[3]Допущения!H53</f>
        <v>0</v>
      </c>
    </row>
    <row r="54" spans="1:8" ht="28.5" x14ac:dyDescent="0.35">
      <c r="A54" s="380" t="s">
        <v>331</v>
      </c>
      <c r="B54" s="361" t="s">
        <v>88</v>
      </c>
      <c r="C54" s="832">
        <v>4</v>
      </c>
      <c r="D54" s="363">
        <f>[3]Допущения!D54</f>
        <v>0</v>
      </c>
      <c r="E54" s="365">
        <f>[3]Допущения!E54</f>
        <v>0</v>
      </c>
      <c r="F54" s="363">
        <f>[3]Допущения!F54</f>
        <v>0</v>
      </c>
      <c r="G54" s="363">
        <f>[3]Допущения!G54</f>
        <v>0</v>
      </c>
      <c r="H54" s="363">
        <f>[3]Допущения!H54</f>
        <v>0</v>
      </c>
    </row>
    <row r="55" spans="1:8" ht="14.5" x14ac:dyDescent="0.35">
      <c r="A55" s="380" t="s">
        <v>332</v>
      </c>
      <c r="B55" s="361" t="s">
        <v>333</v>
      </c>
      <c r="C55" s="832">
        <v>5000</v>
      </c>
      <c r="D55" s="363">
        <f>[3]Допущения!D55</f>
        <v>0</v>
      </c>
      <c r="E55" s="356"/>
      <c r="F55" s="356"/>
      <c r="G55" s="356"/>
      <c r="H55" s="356"/>
    </row>
    <row r="56" spans="1:8" x14ac:dyDescent="0.3">
      <c r="A56" s="400"/>
      <c r="B56" s="400"/>
      <c r="C56" s="400"/>
      <c r="D56" s="400"/>
      <c r="E56" s="400"/>
      <c r="F56" s="400"/>
      <c r="G56" s="400"/>
      <c r="H56" s="400"/>
    </row>
    <row r="59" spans="1:8" x14ac:dyDescent="0.3">
      <c r="D59" s="401">
        <f>Sisendandmed!$C$21*Eeldused_muugi!F11*Sisendandmed!$H$36/1000*Sisendandmed!$C$8</f>
        <v>96.630299999999977</v>
      </c>
      <c r="E59" s="401">
        <f>Sisendandmed!$D$21*Eeldused_muugi!F13*Sisendandmed!$H$37/1000*Sisendandmed!$C$8</f>
        <v>921.27672000000018</v>
      </c>
    </row>
  </sheetData>
  <mergeCells count="4">
    <mergeCell ref="B28:B29"/>
    <mergeCell ref="C28:C29"/>
    <mergeCell ref="D28:D29"/>
    <mergeCell ref="E28:E29"/>
  </mergeCells>
  <pageMargins left="0.7" right="0.7" top="0.75" bottom="0.75" header="0.3" footer="0.3"/>
  <pageSetup paperSize="9" scale="63"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3"/>
  <sheetViews>
    <sheetView showZeros="0" topLeftCell="A11" workbookViewId="0">
      <selection activeCell="H41" sqref="H41"/>
    </sheetView>
  </sheetViews>
  <sheetFormatPr defaultColWidth="9.1796875" defaultRowHeight="14" x14ac:dyDescent="0.3"/>
  <cols>
    <col min="1" max="1" width="33.54296875" style="701" customWidth="1"/>
    <col min="2" max="2" width="12.54296875" style="701" customWidth="1"/>
    <col min="3" max="3" width="12.81640625" style="701" customWidth="1"/>
    <col min="4" max="4" width="12" style="701" customWidth="1"/>
    <col min="5" max="6" width="13.26953125" style="701" customWidth="1"/>
    <col min="7" max="16384" width="9.1796875" style="701"/>
  </cols>
  <sheetData>
    <row r="1" spans="1:9" x14ac:dyDescent="0.3">
      <c r="A1" s="687" t="s">
        <v>494</v>
      </c>
      <c r="B1" s="685"/>
      <c r="C1" s="685"/>
      <c r="D1" s="685"/>
      <c r="E1" s="685"/>
      <c r="F1" s="685"/>
      <c r="G1" s="685"/>
      <c r="H1" s="685"/>
      <c r="I1" s="685"/>
    </row>
    <row r="2" spans="1:9" x14ac:dyDescent="0.3">
      <c r="A2" s="685"/>
      <c r="B2" s="685"/>
      <c r="C2" s="685"/>
      <c r="D2" s="685"/>
      <c r="E2" s="685"/>
      <c r="F2" s="685"/>
      <c r="G2" s="685"/>
      <c r="H2" s="685"/>
      <c r="I2" s="685"/>
    </row>
    <row r="3" spans="1:9" ht="28" x14ac:dyDescent="0.3">
      <c r="A3" s="394"/>
      <c r="B3" s="702" t="s">
        <v>495</v>
      </c>
      <c r="C3" s="703" t="s">
        <v>496</v>
      </c>
      <c r="D3" s="372" t="s">
        <v>497</v>
      </c>
      <c r="E3" s="394"/>
      <c r="F3" s="685"/>
      <c r="G3" s="685"/>
      <c r="H3" s="685"/>
      <c r="I3" s="685"/>
    </row>
    <row r="4" spans="1:9" x14ac:dyDescent="0.3">
      <c r="A4" s="704" t="s">
        <v>498</v>
      </c>
      <c r="B4" s="843"/>
      <c r="C4" s="844"/>
      <c r="D4" s="845"/>
      <c r="E4" s="845"/>
      <c r="F4" s="685"/>
      <c r="G4" s="685"/>
      <c r="H4" s="685"/>
      <c r="I4" s="685"/>
    </row>
    <row r="5" spans="1:9" x14ac:dyDescent="0.3">
      <c r="A5" s="361">
        <v>0</v>
      </c>
      <c r="B5" s="846"/>
      <c r="C5" s="847"/>
      <c r="D5" s="693"/>
      <c r="E5" s="693"/>
      <c r="F5" s="685"/>
      <c r="G5" s="685"/>
      <c r="H5" s="685"/>
      <c r="I5" s="685"/>
    </row>
    <row r="6" spans="1:9" x14ac:dyDescent="0.3">
      <c r="A6" s="361" t="s">
        <v>499</v>
      </c>
      <c r="B6" s="848">
        <f>Tulu!G12</f>
        <v>15420.500000000007</v>
      </c>
      <c r="C6" s="849">
        <f>Tulu!H12</f>
        <v>185046.00000000009</v>
      </c>
      <c r="D6" s="841">
        <f>C6/$C$9</f>
        <v>0.70475127095688028</v>
      </c>
      <c r="E6" s="841"/>
      <c r="F6" s="711"/>
      <c r="G6" s="712"/>
      <c r="H6" s="685"/>
      <c r="I6" s="685"/>
    </row>
    <row r="7" spans="1:9" ht="28" x14ac:dyDescent="0.3">
      <c r="A7" s="380" t="s">
        <v>500</v>
      </c>
      <c r="B7" s="848">
        <f>C7/12</f>
        <v>6460.2693373333359</v>
      </c>
      <c r="C7" s="849">
        <f>Tulu!H25</f>
        <v>77523.232048000034</v>
      </c>
      <c r="D7" s="841">
        <f>C7/$C$9</f>
        <v>0.29524872904311983</v>
      </c>
      <c r="E7" s="841"/>
      <c r="F7" s="711"/>
      <c r="G7" s="685"/>
      <c r="H7" s="685"/>
      <c r="I7" s="685"/>
    </row>
    <row r="8" spans="1:9" x14ac:dyDescent="0.3">
      <c r="A8" s="361">
        <v>0</v>
      </c>
      <c r="B8" s="846"/>
      <c r="C8" s="847"/>
      <c r="D8" s="693"/>
      <c r="E8" s="693"/>
      <c r="F8" s="685"/>
      <c r="G8" s="685"/>
      <c r="H8" s="685"/>
      <c r="I8" s="685"/>
    </row>
    <row r="9" spans="1:9" x14ac:dyDescent="0.3">
      <c r="A9" s="713" t="s">
        <v>501</v>
      </c>
      <c r="B9" s="850">
        <f>SUM(B6:B8)</f>
        <v>21880.769337333342</v>
      </c>
      <c r="C9" s="851">
        <f>SUM(C6:C8)</f>
        <v>262569.23204800009</v>
      </c>
      <c r="D9" s="693"/>
      <c r="E9" s="693"/>
      <c r="F9" s="685"/>
      <c r="G9" s="712">
        <f>C9/1000</f>
        <v>262.56923204800012</v>
      </c>
      <c r="H9" s="685"/>
      <c r="I9" s="685"/>
    </row>
    <row r="10" spans="1:9" x14ac:dyDescent="0.3">
      <c r="A10" s="383"/>
      <c r="B10" s="383"/>
      <c r="C10" s="383"/>
      <c r="D10" s="383"/>
      <c r="E10" s="383"/>
      <c r="F10" s="685"/>
      <c r="G10" s="685"/>
      <c r="H10" s="685"/>
      <c r="I10" s="685"/>
    </row>
    <row r="11" spans="1:9" ht="48" customHeight="1" x14ac:dyDescent="0.3">
      <c r="A11" s="704" t="s">
        <v>502</v>
      </c>
      <c r="B11" s="705"/>
      <c r="C11" s="706"/>
      <c r="D11" s="714" t="s">
        <v>503</v>
      </c>
      <c r="E11" s="714" t="s">
        <v>504</v>
      </c>
      <c r="F11" s="715"/>
      <c r="G11" s="685"/>
      <c r="H11" s="685"/>
      <c r="I11" s="685"/>
    </row>
    <row r="12" spans="1:9" x14ac:dyDescent="0.3">
      <c r="A12" s="689"/>
      <c r="B12" s="707"/>
      <c r="C12" s="708"/>
      <c r="D12" s="361"/>
      <c r="E12" s="361"/>
      <c r="F12" s="685"/>
      <c r="G12" s="685"/>
      <c r="H12" s="685"/>
      <c r="I12" s="685"/>
    </row>
    <row r="13" spans="1:9" x14ac:dyDescent="0.3">
      <c r="A13" s="713" t="s">
        <v>505</v>
      </c>
      <c r="B13" s="707"/>
      <c r="C13" s="708"/>
      <c r="D13" s="361"/>
      <c r="E13" s="361"/>
      <c r="F13" s="685"/>
      <c r="G13" s="685"/>
      <c r="H13" s="685"/>
      <c r="I13" s="685"/>
    </row>
    <row r="14" spans="1:9" x14ac:dyDescent="0.3">
      <c r="A14" s="361" t="s">
        <v>506</v>
      </c>
      <c r="B14" s="848">
        <f>C14/12</f>
        <v>5923.4640530000033</v>
      </c>
      <c r="C14" s="849">
        <f>Kulud!E4</f>
        <v>71081.56863600004</v>
      </c>
      <c r="D14" s="841">
        <f>C14/$C$35</f>
        <v>7.8143452058544727E-2</v>
      </c>
      <c r="E14" s="841">
        <f>C14/$C$25</f>
        <v>0.26850863124142954</v>
      </c>
      <c r="F14" s="711"/>
      <c r="G14" s="685"/>
      <c r="H14" s="685"/>
      <c r="I14" s="685"/>
    </row>
    <row r="15" spans="1:9" x14ac:dyDescent="0.3">
      <c r="A15" s="361" t="s">
        <v>507</v>
      </c>
      <c r="B15" s="848">
        <f t="shared" ref="B15:B23" si="0">C15/12</f>
        <v>7556.8349999999991</v>
      </c>
      <c r="C15" s="849">
        <f>Kulud!E25</f>
        <v>90682.01999999999</v>
      </c>
      <c r="D15" s="841">
        <f t="shared" ref="D15:D25" si="1">C15/$C$35</f>
        <v>9.9691188847133946E-2</v>
      </c>
      <c r="E15" s="841">
        <f t="shared" ref="E15:E25" si="2">C15/$C$25</f>
        <v>0.34254878635410646</v>
      </c>
      <c r="F15" s="711"/>
      <c r="G15" s="685"/>
      <c r="H15" s="685"/>
      <c r="I15" s="685"/>
    </row>
    <row r="16" spans="1:9" x14ac:dyDescent="0.3">
      <c r="A16" s="361" t="s">
        <v>324</v>
      </c>
      <c r="B16" s="848">
        <f t="shared" si="0"/>
        <v>1458.3333333333333</v>
      </c>
      <c r="C16" s="849">
        <f>Kulud!E29</f>
        <v>17500</v>
      </c>
      <c r="D16" s="841">
        <f t="shared" si="1"/>
        <v>1.9238607662520578E-2</v>
      </c>
      <c r="E16" s="841">
        <f t="shared" si="2"/>
        <v>6.6105759015920293E-2</v>
      </c>
      <c r="F16" s="711"/>
      <c r="G16" s="685"/>
      <c r="H16" s="685"/>
      <c r="I16" s="685"/>
    </row>
    <row r="17" spans="1:9" x14ac:dyDescent="0.3">
      <c r="A17" s="361" t="s">
        <v>373</v>
      </c>
      <c r="B17" s="848">
        <f t="shared" si="0"/>
        <v>1300</v>
      </c>
      <c r="C17" s="849">
        <f>Kulud!E33</f>
        <v>15600</v>
      </c>
      <c r="D17" s="841">
        <f t="shared" si="1"/>
        <v>1.7149844544875486E-2</v>
      </c>
      <c r="E17" s="841">
        <f t="shared" si="2"/>
        <v>5.892856232276323E-2</v>
      </c>
      <c r="F17" s="711"/>
      <c r="G17" s="685"/>
      <c r="H17" s="685"/>
      <c r="I17" s="685"/>
    </row>
    <row r="18" spans="1:9" x14ac:dyDescent="0.3">
      <c r="A18" s="361" t="s">
        <v>376</v>
      </c>
      <c r="B18" s="848">
        <f t="shared" si="0"/>
        <v>1160</v>
      </c>
      <c r="C18" s="849">
        <f>Kulud!E38</f>
        <v>13920</v>
      </c>
      <c r="D18" s="841">
        <f t="shared" si="1"/>
        <v>1.5302938209273512E-2</v>
      </c>
      <c r="E18" s="841">
        <f t="shared" si="2"/>
        <v>5.2582409457234885E-2</v>
      </c>
      <c r="F18" s="711"/>
      <c r="G18" s="685"/>
      <c r="H18" s="685"/>
      <c r="I18" s="685"/>
    </row>
    <row r="19" spans="1:9" x14ac:dyDescent="0.3">
      <c r="A19" s="361" t="s">
        <v>377</v>
      </c>
      <c r="B19" s="848">
        <f t="shared" si="0"/>
        <v>760</v>
      </c>
      <c r="C19" s="849">
        <f>Kulud!E45</f>
        <v>9120</v>
      </c>
      <c r="D19" s="841">
        <f t="shared" si="1"/>
        <v>1.0026062964696438E-2</v>
      </c>
      <c r="E19" s="841">
        <f t="shared" si="2"/>
        <v>3.4450544127153891E-2</v>
      </c>
      <c r="F19" s="711"/>
      <c r="G19" s="685"/>
      <c r="H19" s="685"/>
      <c r="I19" s="685"/>
    </row>
    <row r="20" spans="1:9" x14ac:dyDescent="0.3">
      <c r="A20" s="361" t="s">
        <v>380</v>
      </c>
      <c r="B20" s="848">
        <f t="shared" si="0"/>
        <v>1621.6666666666667</v>
      </c>
      <c r="C20" s="849">
        <f>Kulud!E50</f>
        <v>19460</v>
      </c>
      <c r="D20" s="841">
        <f t="shared" si="1"/>
        <v>2.1393331720722882E-2</v>
      </c>
      <c r="E20" s="841">
        <f t="shared" si="2"/>
        <v>7.3509604025703362E-2</v>
      </c>
      <c r="F20" s="711"/>
      <c r="G20" s="685"/>
      <c r="H20" s="685"/>
      <c r="I20" s="685"/>
    </row>
    <row r="21" spans="1:9" x14ac:dyDescent="0.3">
      <c r="A21" s="361" t="s">
        <v>386</v>
      </c>
      <c r="B21" s="848">
        <f t="shared" si="0"/>
        <v>1000</v>
      </c>
      <c r="C21" s="849">
        <f>Kulud!E56</f>
        <v>12000</v>
      </c>
      <c r="D21" s="841">
        <f t="shared" si="1"/>
        <v>1.3192188111442682E-2</v>
      </c>
      <c r="E21" s="841">
        <f t="shared" si="2"/>
        <v>4.5329663325202482E-2</v>
      </c>
      <c r="F21" s="711"/>
      <c r="G21" s="685"/>
      <c r="H21" s="685"/>
      <c r="I21" s="685"/>
    </row>
    <row r="22" spans="1:9" x14ac:dyDescent="0.3">
      <c r="A22" s="361" t="s">
        <v>32</v>
      </c>
      <c r="B22" s="848">
        <f t="shared" si="0"/>
        <v>705.31041647333348</v>
      </c>
      <c r="C22" s="849">
        <f>Kulud!E57</f>
        <v>8463.7249976800013</v>
      </c>
      <c r="D22" s="841">
        <f t="shared" si="1"/>
        <v>9.3045876910761958E-3</v>
      </c>
      <c r="E22" s="841">
        <f t="shared" si="2"/>
        <v>3.1971483718494551E-2</v>
      </c>
      <c r="F22" s="711"/>
      <c r="G22" s="685"/>
      <c r="H22" s="685"/>
      <c r="I22" s="685"/>
    </row>
    <row r="23" spans="1:9" x14ac:dyDescent="0.3">
      <c r="A23" s="361" t="s">
        <v>390</v>
      </c>
      <c r="B23" s="848">
        <f t="shared" si="0"/>
        <v>575</v>
      </c>
      <c r="C23" s="849">
        <f>Kulud!E58</f>
        <v>6900</v>
      </c>
      <c r="D23" s="841">
        <f t="shared" si="1"/>
        <v>7.585508164079542E-3</v>
      </c>
      <c r="E23" s="841">
        <f t="shared" si="2"/>
        <v>2.606455641199143E-2</v>
      </c>
      <c r="F23" s="711"/>
      <c r="G23" s="685"/>
      <c r="H23" s="685"/>
      <c r="I23" s="685"/>
    </row>
    <row r="24" spans="1:9" x14ac:dyDescent="0.3">
      <c r="A24" s="361"/>
      <c r="B24" s="848"/>
      <c r="C24" s="849"/>
      <c r="D24" s="693"/>
      <c r="E24" s="693"/>
      <c r="F24" s="685"/>
      <c r="G24" s="685"/>
      <c r="H24" s="685"/>
      <c r="I24" s="685"/>
    </row>
    <row r="25" spans="1:9" x14ac:dyDescent="0.3">
      <c r="A25" s="713" t="s">
        <v>508</v>
      </c>
      <c r="B25" s="850">
        <f>SUM(B14:B24)</f>
        <v>22060.60946947334</v>
      </c>
      <c r="C25" s="851">
        <f>SUM(C14:C24)</f>
        <v>264727.31363367999</v>
      </c>
      <c r="D25" s="841">
        <f t="shared" si="1"/>
        <v>0.29102770997436594</v>
      </c>
      <c r="E25" s="841">
        <f t="shared" si="2"/>
        <v>1</v>
      </c>
      <c r="F25" s="711"/>
      <c r="G25" s="712">
        <f>C25/1000</f>
        <v>264.72731363368001</v>
      </c>
      <c r="H25" s="685"/>
      <c r="I25" s="685"/>
    </row>
    <row r="26" spans="1:9" x14ac:dyDescent="0.3">
      <c r="A26" s="383"/>
      <c r="B26" s="716"/>
      <c r="C26" s="716"/>
      <c r="D26" s="383"/>
      <c r="E26" s="383"/>
      <c r="F26" s="685"/>
      <c r="G26" s="685"/>
      <c r="H26" s="685"/>
      <c r="I26" s="685"/>
    </row>
    <row r="27" spans="1:9" x14ac:dyDescent="0.3">
      <c r="A27" s="717" t="s">
        <v>509</v>
      </c>
      <c r="B27" s="856">
        <f>B9-B25</f>
        <v>-179.84013213999788</v>
      </c>
      <c r="C27" s="718">
        <f>C9-C25</f>
        <v>-2158.0815856799018</v>
      </c>
      <c r="D27" s="719"/>
      <c r="E27" s="719"/>
      <c r="F27" s="720"/>
      <c r="G27" s="906">
        <f>C27/1000</f>
        <v>-2.1580815856799016</v>
      </c>
      <c r="H27" s="685"/>
      <c r="I27" s="685"/>
    </row>
    <row r="28" spans="1:9" x14ac:dyDescent="0.3">
      <c r="A28" s="361"/>
      <c r="B28" s="709"/>
      <c r="C28" s="710"/>
      <c r="D28" s="361"/>
      <c r="E28" s="361"/>
      <c r="F28" s="685"/>
      <c r="G28" s="685"/>
      <c r="H28" s="685"/>
      <c r="I28" s="685"/>
    </row>
    <row r="29" spans="1:9" x14ac:dyDescent="0.3">
      <c r="A29" s="361" t="s">
        <v>493</v>
      </c>
      <c r="B29" s="848">
        <f>SUM(B30:B33)</f>
        <v>53741.826908205127</v>
      </c>
      <c r="C29" s="849">
        <f>SUM(C30:C33)</f>
        <v>644901.92289846146</v>
      </c>
      <c r="D29" s="841">
        <f t="shared" ref="D29:D33" si="3">C29/$C$35</f>
        <v>0.708972290025634</v>
      </c>
      <c r="E29" s="841"/>
      <c r="F29" s="711"/>
      <c r="G29" s="685"/>
      <c r="H29" s="685"/>
      <c r="I29" s="685"/>
    </row>
    <row r="30" spans="1:9" x14ac:dyDescent="0.3">
      <c r="A30" s="368" t="s">
        <v>485</v>
      </c>
      <c r="B30" s="848">
        <f>C30/12</f>
        <v>51167.689215897437</v>
      </c>
      <c r="C30" s="849">
        <f>Investeeringud!E4*Investeeringud!C29</f>
        <v>614012.27059076924</v>
      </c>
      <c r="D30" s="841">
        <f t="shared" si="3"/>
        <v>0.67501378136395607</v>
      </c>
      <c r="E30" s="693"/>
      <c r="F30" s="685"/>
      <c r="G30" s="685"/>
      <c r="H30" s="685"/>
      <c r="I30" s="685"/>
    </row>
    <row r="31" spans="1:9" x14ac:dyDescent="0.3">
      <c r="A31" s="368" t="s">
        <v>487</v>
      </c>
      <c r="B31" s="848">
        <f>C31/12</f>
        <v>1403.2053205128204</v>
      </c>
      <c r="C31" s="849">
        <f>Investeeringud!E7*Investeeringud!C30</f>
        <v>16838.463846153845</v>
      </c>
      <c r="D31" s="841">
        <f t="shared" si="3"/>
        <v>1.8511348547182348E-2</v>
      </c>
      <c r="E31" s="693"/>
      <c r="F31" s="685"/>
      <c r="G31" s="685"/>
      <c r="H31" s="685"/>
      <c r="I31" s="685"/>
    </row>
    <row r="32" spans="1:9" x14ac:dyDescent="0.3">
      <c r="A32" s="368" t="str">
        <f>Investeeringud!A29</f>
        <v>Elektriliitumine ja liitumine keskküttega</v>
      </c>
      <c r="B32" s="848">
        <f>C32/12</f>
        <v>885.52852564102579</v>
      </c>
      <c r="C32" s="849">
        <f>Investeeringud!E11*Investeeringud!C29</f>
        <v>10626.34230769231</v>
      </c>
      <c r="D32" s="841">
        <f t="shared" si="3"/>
        <v>1.1682058888304907E-2</v>
      </c>
      <c r="E32" s="693"/>
      <c r="F32" s="685"/>
      <c r="G32" s="685"/>
      <c r="H32" s="685"/>
      <c r="I32" s="685"/>
    </row>
    <row r="33" spans="1:9" x14ac:dyDescent="0.3">
      <c r="A33" s="368" t="s">
        <v>491</v>
      </c>
      <c r="B33" s="848">
        <f>C33/12</f>
        <v>285.40384615384613</v>
      </c>
      <c r="C33" s="849">
        <f>Investeeringud!E17*Investeeringud!C30</f>
        <v>3424.8461538461538</v>
      </c>
      <c r="D33" s="841">
        <f t="shared" si="3"/>
        <v>3.7651012261907856E-3</v>
      </c>
      <c r="E33" s="693"/>
      <c r="F33" s="685"/>
      <c r="G33" s="685"/>
      <c r="H33" s="685"/>
      <c r="I33" s="685"/>
    </row>
    <row r="34" spans="1:9" x14ac:dyDescent="0.3">
      <c r="A34" s="361"/>
      <c r="B34" s="846"/>
      <c r="C34" s="847"/>
      <c r="D34" s="693"/>
      <c r="E34" s="693"/>
      <c r="F34" s="685"/>
      <c r="G34" s="685"/>
      <c r="H34" s="685"/>
      <c r="I34" s="685"/>
    </row>
    <row r="35" spans="1:9" x14ac:dyDescent="0.3">
      <c r="A35" s="713" t="s">
        <v>510</v>
      </c>
      <c r="B35" s="850">
        <f>B25+B29</f>
        <v>75802.436377678474</v>
      </c>
      <c r="C35" s="851">
        <f>C25+C29</f>
        <v>909629.23653214145</v>
      </c>
      <c r="D35" s="841">
        <f t="shared" ref="D35" si="4">C35/$C$35</f>
        <v>1</v>
      </c>
      <c r="E35" s="841"/>
      <c r="F35" s="711"/>
      <c r="G35" s="712">
        <f>C35/1000</f>
        <v>909.62923653214148</v>
      </c>
      <c r="H35" s="685"/>
      <c r="I35" s="685"/>
    </row>
    <row r="36" spans="1:9" x14ac:dyDescent="0.3">
      <c r="A36" s="383"/>
      <c r="B36" s="383"/>
      <c r="C36" s="383"/>
      <c r="D36" s="383"/>
      <c r="E36" s="383"/>
      <c r="F36" s="685"/>
      <c r="G36" s="685"/>
      <c r="H36" s="685"/>
      <c r="I36" s="685"/>
    </row>
    <row r="37" spans="1:9" x14ac:dyDescent="0.3">
      <c r="A37" s="383"/>
      <c r="B37" s="383"/>
      <c r="C37" s="383"/>
      <c r="D37" s="383"/>
      <c r="E37" s="383"/>
      <c r="F37" s="685"/>
      <c r="G37" s="685"/>
      <c r="H37" s="685"/>
      <c r="I37" s="685"/>
    </row>
    <row r="38" spans="1:9" x14ac:dyDescent="0.3">
      <c r="A38" s="721" t="s">
        <v>511</v>
      </c>
      <c r="B38" s="852">
        <f>B9-B35</f>
        <v>-53921.667040345128</v>
      </c>
      <c r="C38" s="853">
        <f>C9-C35</f>
        <v>-647060.00448414136</v>
      </c>
      <c r="D38" s="723"/>
      <c r="E38" s="722"/>
      <c r="F38" s="720"/>
      <c r="G38" s="712">
        <f>C38/1000</f>
        <v>-647.06000448414136</v>
      </c>
      <c r="H38" s="685"/>
      <c r="I38" s="685"/>
    </row>
    <row r="39" spans="1:9" x14ac:dyDescent="0.3">
      <c r="A39" s="724"/>
      <c r="B39" s="725"/>
      <c r="C39" s="726"/>
      <c r="D39" s="727"/>
      <c r="E39" s="726"/>
      <c r="F39" s="720"/>
      <c r="G39" s="685"/>
      <c r="H39" s="685"/>
      <c r="I39" s="685"/>
    </row>
    <row r="40" spans="1:9" x14ac:dyDescent="0.3">
      <c r="A40" s="687"/>
      <c r="B40" s="720"/>
      <c r="C40" s="720"/>
      <c r="D40" s="720"/>
      <c r="E40" s="720"/>
      <c r="F40" s="720"/>
      <c r="G40" s="685"/>
      <c r="H40" s="685"/>
      <c r="I40" s="685"/>
    </row>
    <row r="41" spans="1:9" x14ac:dyDescent="0.3">
      <c r="A41" s="685"/>
      <c r="B41" s="685"/>
      <c r="C41" s="685"/>
      <c r="D41" s="685"/>
      <c r="E41" s="685"/>
      <c r="F41" s="685"/>
      <c r="G41" s="685"/>
      <c r="H41" s="685"/>
      <c r="I41" s="685"/>
    </row>
    <row r="42" spans="1:9" x14ac:dyDescent="0.3">
      <c r="A42" s="728"/>
      <c r="B42" s="729"/>
      <c r="C42" s="729"/>
      <c r="D42" s="685"/>
      <c r="E42" s="685"/>
      <c r="F42" s="685"/>
      <c r="G42" s="685"/>
      <c r="H42" s="685"/>
      <c r="I42" s="685"/>
    </row>
    <row r="43" spans="1:9" x14ac:dyDescent="0.3">
      <c r="A43" s="728"/>
      <c r="B43" s="729"/>
      <c r="C43" s="729"/>
      <c r="D43" s="685"/>
      <c r="E43" s="685"/>
      <c r="F43" s="685"/>
      <c r="G43" s="685"/>
      <c r="H43" s="685"/>
      <c r="I43" s="68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85" zoomScaleNormal="85" workbookViewId="0">
      <pane xSplit="3" ySplit="4" topLeftCell="D5" activePane="bottomRight" state="frozen"/>
      <selection pane="topRight" activeCell="D1" sqref="D1"/>
      <selection pane="bottomLeft" activeCell="A5" sqref="A5"/>
      <selection pane="bottomRight" activeCell="D34" sqref="D34"/>
    </sheetView>
  </sheetViews>
  <sheetFormatPr defaultColWidth="9.1796875" defaultRowHeight="14.5" outlineLevelCol="1" x14ac:dyDescent="0.35"/>
  <cols>
    <col min="1" max="1" width="6.1796875" style="797" customWidth="1"/>
    <col min="2" max="2" width="33.7265625" style="797" customWidth="1"/>
    <col min="3" max="3" width="10.453125" style="797" customWidth="1"/>
    <col min="4" max="4" width="12.7265625" style="797" customWidth="1"/>
    <col min="5" max="5" width="13" style="797" customWidth="1" outlineLevel="1"/>
    <col min="6" max="6" width="12.81640625" style="797" customWidth="1" outlineLevel="1"/>
    <col min="7" max="7" width="16.54296875" style="797" customWidth="1"/>
    <col min="8" max="8" width="16.7265625" style="797" customWidth="1"/>
    <col min="9" max="9" width="13" style="797" customWidth="1"/>
    <col min="10" max="16384" width="9.1796875" style="797"/>
  </cols>
  <sheetData>
    <row r="1" spans="1:14" x14ac:dyDescent="0.35">
      <c r="A1" s="796" t="s">
        <v>524</v>
      </c>
    </row>
    <row r="4" spans="1:14" x14ac:dyDescent="0.35">
      <c r="A4" s="798" t="s">
        <v>525</v>
      </c>
      <c r="B4" s="799"/>
      <c r="C4" s="799"/>
      <c r="D4" s="800"/>
      <c r="E4" s="799"/>
      <c r="F4" s="799"/>
      <c r="G4" s="799"/>
      <c r="H4" s="799"/>
      <c r="I4" s="801"/>
    </row>
    <row r="5" spans="1:14" ht="43.5" x14ac:dyDescent="0.35">
      <c r="A5" s="802"/>
      <c r="B5" s="803"/>
      <c r="C5" s="804" t="s">
        <v>526</v>
      </c>
      <c r="D5" s="805" t="s">
        <v>527</v>
      </c>
      <c r="E5" s="804" t="s">
        <v>528</v>
      </c>
      <c r="F5" s="804" t="s">
        <v>528</v>
      </c>
      <c r="G5" s="804" t="s">
        <v>529</v>
      </c>
      <c r="H5" s="804" t="s">
        <v>529</v>
      </c>
      <c r="I5" s="804" t="s">
        <v>530</v>
      </c>
    </row>
    <row r="6" spans="1:14" x14ac:dyDescent="0.35">
      <c r="A6" s="802"/>
      <c r="B6" s="803"/>
      <c r="C6" s="804" t="s">
        <v>531</v>
      </c>
      <c r="D6" s="805" t="s">
        <v>532</v>
      </c>
      <c r="E6" s="804" t="s">
        <v>531</v>
      </c>
      <c r="F6" s="804" t="s">
        <v>533</v>
      </c>
      <c r="G6" s="804" t="s">
        <v>531</v>
      </c>
      <c r="H6" s="804" t="s">
        <v>533</v>
      </c>
      <c r="I6" s="804"/>
    </row>
    <row r="7" spans="1:14" x14ac:dyDescent="0.35">
      <c r="A7" s="802">
        <v>1</v>
      </c>
      <c r="B7" s="803" t="s">
        <v>534</v>
      </c>
      <c r="C7" s="803">
        <f>Sisendandmed!C4</f>
        <v>5</v>
      </c>
      <c r="D7" s="806">
        <f>Помещения!D57</f>
        <v>5892.9000000000033</v>
      </c>
      <c r="E7" s="806">
        <f>C7*D7</f>
        <v>29464.500000000015</v>
      </c>
      <c r="F7" s="806">
        <f>E7*12</f>
        <v>353574.00000000017</v>
      </c>
      <c r="G7" s="806">
        <f>E7*Sisendandmed!$C$3</f>
        <v>14732.250000000007</v>
      </c>
      <c r="H7" s="806">
        <f>F7*Sisendandmed!$C$3</f>
        <v>176787.00000000009</v>
      </c>
      <c r="I7" s="807">
        <f>F7/$F$12</f>
        <v>0.95536785447942674</v>
      </c>
    </row>
    <row r="8" spans="1:14" x14ac:dyDescent="0.35">
      <c r="A8" s="802">
        <v>2</v>
      </c>
      <c r="B8" s="803" t="s">
        <v>535</v>
      </c>
      <c r="C8" s="803">
        <f>(C11*D11+C10*D10+C9*D9)/SUM(D9:D11)</f>
        <v>5.0000000000000009</v>
      </c>
      <c r="D8" s="808">
        <f>Помещения!D52</f>
        <v>275.29999999999995</v>
      </c>
      <c r="E8" s="806">
        <f>C8*D8</f>
        <v>1376.5</v>
      </c>
      <c r="F8" s="806">
        <f>E8*12</f>
        <v>16518</v>
      </c>
      <c r="G8" s="806">
        <f>E8*Sisendandmed!$C$3</f>
        <v>688.25</v>
      </c>
      <c r="H8" s="806">
        <f>F8*Sisendandmed!$C$3</f>
        <v>8259</v>
      </c>
      <c r="I8" s="807">
        <f>F8/$F$12</f>
        <v>4.4632145520573242E-2</v>
      </c>
    </row>
    <row r="9" spans="1:14" ht="15" customHeight="1" x14ac:dyDescent="0.35">
      <c r="A9" s="809" t="s">
        <v>536</v>
      </c>
      <c r="B9" s="810" t="s">
        <v>488</v>
      </c>
      <c r="C9" s="803">
        <f>Sisendandmed!C4</f>
        <v>5</v>
      </c>
      <c r="D9" s="806">
        <v>113.29999999999998</v>
      </c>
      <c r="E9" s="806">
        <f>C9*D9</f>
        <v>566.49999999999989</v>
      </c>
      <c r="F9" s="806">
        <f>E9*12</f>
        <v>6797.9999999999982</v>
      </c>
      <c r="G9" s="806">
        <f>E9*Sisendandmed!$C$3</f>
        <v>283.24999999999994</v>
      </c>
      <c r="H9" s="806">
        <f>F9*Sisendandmed!$C$3</f>
        <v>3398.9999999999991</v>
      </c>
      <c r="I9" s="811">
        <f>F9/$F$12</f>
        <v>1.8368405693719385E-2</v>
      </c>
      <c r="K9" s="1010"/>
      <c r="L9" s="1010"/>
      <c r="M9" s="1010"/>
      <c r="N9" s="1010"/>
    </row>
    <row r="10" spans="1:14" ht="37.5" customHeight="1" x14ac:dyDescent="0.35">
      <c r="A10" s="809" t="s">
        <v>537</v>
      </c>
      <c r="B10" s="810" t="s">
        <v>538</v>
      </c>
      <c r="C10" s="803">
        <f>Sisendandmed!C4</f>
        <v>5</v>
      </c>
      <c r="D10" s="803">
        <v>162</v>
      </c>
      <c r="E10" s="806">
        <f>C10*D10</f>
        <v>810</v>
      </c>
      <c r="F10" s="806">
        <f>E10*12</f>
        <v>9720</v>
      </c>
      <c r="G10" s="806">
        <f>E10*Sisendandmed!$C$3</f>
        <v>405</v>
      </c>
      <c r="H10" s="806">
        <f>F10*Sisendandmed!$C$3</f>
        <v>4860</v>
      </c>
      <c r="I10" s="811">
        <f>F10/$F$12</f>
        <v>2.6263739826853851E-2</v>
      </c>
      <c r="K10" s="1010"/>
      <c r="L10" s="1010"/>
      <c r="M10" s="1010"/>
      <c r="N10" s="1010"/>
    </row>
    <row r="11" spans="1:14" x14ac:dyDescent="0.35">
      <c r="A11" s="809"/>
      <c r="B11" s="810"/>
      <c r="C11" s="803"/>
      <c r="D11" s="812"/>
      <c r="E11" s="806"/>
      <c r="F11" s="806"/>
      <c r="G11" s="806"/>
      <c r="H11" s="806"/>
      <c r="I11" s="811"/>
      <c r="K11" s="1010"/>
      <c r="L11" s="1010"/>
      <c r="M11" s="1010"/>
      <c r="N11" s="1010"/>
    </row>
    <row r="12" spans="1:14" x14ac:dyDescent="0.35">
      <c r="A12" s="802">
        <v>3</v>
      </c>
      <c r="B12" s="813" t="s">
        <v>539</v>
      </c>
      <c r="C12" s="803"/>
      <c r="D12" s="814">
        <f t="shared" ref="D12:I12" si="0">SUM(D7:D8)</f>
        <v>6168.2000000000035</v>
      </c>
      <c r="E12" s="814">
        <f t="shared" si="0"/>
        <v>30841.000000000015</v>
      </c>
      <c r="F12" s="814">
        <f t="shared" si="0"/>
        <v>370092.00000000017</v>
      </c>
      <c r="G12" s="814">
        <f t="shared" si="0"/>
        <v>15420.500000000007</v>
      </c>
      <c r="H12" s="814">
        <f t="shared" si="0"/>
        <v>185046.00000000009</v>
      </c>
      <c r="I12" s="815">
        <f t="shared" si="0"/>
        <v>1</v>
      </c>
    </row>
    <row r="14" spans="1:14" x14ac:dyDescent="0.35">
      <c r="A14" s="816" t="s">
        <v>540</v>
      </c>
      <c r="B14" s="799"/>
      <c r="C14" s="799"/>
      <c r="D14" s="800"/>
      <c r="E14" s="799"/>
      <c r="F14" s="799"/>
      <c r="G14" s="799"/>
      <c r="H14" s="799"/>
      <c r="I14" s="801"/>
    </row>
    <row r="15" spans="1:14" ht="29" x14ac:dyDescent="0.35">
      <c r="A15" s="802"/>
      <c r="B15" s="803"/>
      <c r="C15" s="803"/>
      <c r="D15" s="803"/>
      <c r="E15" s="803"/>
      <c r="F15" s="803"/>
      <c r="G15" s="804" t="s">
        <v>541</v>
      </c>
      <c r="H15" s="804" t="s">
        <v>542</v>
      </c>
      <c r="I15" s="804" t="s">
        <v>530</v>
      </c>
    </row>
    <row r="16" spans="1:14" x14ac:dyDescent="0.35">
      <c r="A16" s="802">
        <v>4</v>
      </c>
      <c r="B16" s="803" t="str">
        <f>Kulud!A5</f>
        <v>Отопление</v>
      </c>
      <c r="C16" s="803"/>
      <c r="D16" s="803"/>
      <c r="E16" s="803"/>
      <c r="F16" s="803"/>
      <c r="G16" s="806">
        <f>H16/12</f>
        <v>1658.697949000001</v>
      </c>
      <c r="H16" s="806">
        <f>Kulud!F5</f>
        <v>19904.375388000011</v>
      </c>
      <c r="I16" s="817">
        <f t="shared" ref="I16:I23" si="1">H16/$H$25</f>
        <v>0.25675368353677291</v>
      </c>
    </row>
    <row r="17" spans="1:9" x14ac:dyDescent="0.35">
      <c r="A17" s="802">
        <v>5</v>
      </c>
      <c r="B17" s="803" t="str">
        <f>Kulud!A13</f>
        <v>Освещение</v>
      </c>
      <c r="C17" s="803"/>
      <c r="D17" s="803"/>
      <c r="E17" s="803"/>
      <c r="F17" s="803"/>
      <c r="G17" s="806">
        <f t="shared" ref="G17:G23" si="2">H17/12</f>
        <v>2344.670055000001</v>
      </c>
      <c r="H17" s="806">
        <f>Kulud!F13</f>
        <v>28136.040660000013</v>
      </c>
      <c r="I17" s="817">
        <f t="shared" si="1"/>
        <v>0.36293688893903481</v>
      </c>
    </row>
    <row r="18" spans="1:9" x14ac:dyDescent="0.35">
      <c r="A18" s="802">
        <v>6</v>
      </c>
      <c r="B18" s="803" t="str">
        <f>Kulud!A19</f>
        <v xml:space="preserve">Вода и канализация </v>
      </c>
      <c r="C18" s="803"/>
      <c r="D18" s="803"/>
      <c r="E18" s="803"/>
      <c r="F18" s="803"/>
      <c r="G18" s="806">
        <f t="shared" si="2"/>
        <v>347.92799999999994</v>
      </c>
      <c r="H18" s="806">
        <f>Kulud!F19</f>
        <v>4175.1359999999995</v>
      </c>
      <c r="I18" s="817">
        <f t="shared" si="1"/>
        <v>5.3856578082488636E-2</v>
      </c>
    </row>
    <row r="19" spans="1:9" x14ac:dyDescent="0.35">
      <c r="A19" s="802">
        <v>7</v>
      </c>
      <c r="B19" s="803" t="str">
        <f>Kulud!A22</f>
        <v>Подогрев горячей воды</v>
      </c>
      <c r="C19" s="803"/>
      <c r="D19" s="803"/>
      <c r="E19" s="803"/>
      <c r="F19" s="803"/>
      <c r="G19" s="806">
        <f t="shared" si="2"/>
        <v>268.14</v>
      </c>
      <c r="H19" s="806">
        <f>Kulud!F22</f>
        <v>3217.68</v>
      </c>
      <c r="I19" s="817">
        <f t="shared" si="1"/>
        <v>4.1506009424474327E-2</v>
      </c>
    </row>
    <row r="20" spans="1:9" x14ac:dyDescent="0.35">
      <c r="A20" s="802">
        <v>8</v>
      </c>
      <c r="B20" s="803" t="str">
        <f>Kulud!A45</f>
        <v>Hooldus (административное здание)</v>
      </c>
      <c r="C20" s="803"/>
      <c r="D20" s="803"/>
      <c r="E20" s="803"/>
      <c r="F20" s="803"/>
      <c r="G20" s="806">
        <f t="shared" si="2"/>
        <v>380</v>
      </c>
      <c r="H20" s="806">
        <f>Kulud!F45</f>
        <v>4560</v>
      </c>
      <c r="I20" s="817">
        <f t="shared" si="1"/>
        <v>5.8821076979563833E-2</v>
      </c>
    </row>
    <row r="21" spans="1:9" x14ac:dyDescent="0.35">
      <c r="A21" s="802">
        <v>9</v>
      </c>
      <c r="B21" s="803" t="str">
        <f>Kulud!A50</f>
        <v>Hooldus (территория)</v>
      </c>
      <c r="C21" s="803"/>
      <c r="D21" s="803"/>
      <c r="E21" s="803"/>
      <c r="F21" s="803"/>
      <c r="G21" s="806">
        <f t="shared" si="2"/>
        <v>810.83333333333337</v>
      </c>
      <c r="H21" s="806">
        <f>Kulud!F50</f>
        <v>9730</v>
      </c>
      <c r="I21" s="817">
        <f t="shared" si="1"/>
        <v>0.12551076294104299</v>
      </c>
    </row>
    <row r="22" spans="1:9" x14ac:dyDescent="0.35">
      <c r="A22" s="802">
        <v>10</v>
      </c>
      <c r="B22" s="803" t="str">
        <f>Kulud!A56</f>
        <v>Охрана</v>
      </c>
      <c r="C22" s="803"/>
      <c r="D22" s="803"/>
      <c r="E22" s="803"/>
      <c r="F22" s="803"/>
      <c r="G22" s="806">
        <f t="shared" si="2"/>
        <v>500</v>
      </c>
      <c r="H22" s="806">
        <f>Kulud!F56</f>
        <v>6000</v>
      </c>
      <c r="I22" s="817">
        <f t="shared" si="1"/>
        <v>7.739615392047873E-2</v>
      </c>
    </row>
    <row r="23" spans="1:9" x14ac:dyDescent="0.35">
      <c r="A23" s="802">
        <v>11</v>
      </c>
      <c r="B23" s="806" t="str">
        <f>Kulud!A58</f>
        <v>Прочее</v>
      </c>
      <c r="C23" s="803"/>
      <c r="D23" s="803"/>
      <c r="E23" s="803"/>
      <c r="F23" s="803"/>
      <c r="G23" s="806">
        <f t="shared" si="2"/>
        <v>150</v>
      </c>
      <c r="H23" s="806">
        <f>Kulud!F58</f>
        <v>1800</v>
      </c>
      <c r="I23" s="817">
        <f t="shared" si="1"/>
        <v>2.3218846176143618E-2</v>
      </c>
    </row>
    <row r="24" spans="1:9" x14ac:dyDescent="0.35">
      <c r="A24" s="802"/>
      <c r="B24" s="803"/>
      <c r="C24" s="803"/>
      <c r="D24" s="803"/>
      <c r="E24" s="803"/>
      <c r="F24" s="803"/>
      <c r="G24" s="806"/>
      <c r="H24" s="806"/>
      <c r="I24" s="817"/>
    </row>
    <row r="25" spans="1:9" x14ac:dyDescent="0.35">
      <c r="A25" s="802">
        <v>12</v>
      </c>
      <c r="B25" s="813" t="s">
        <v>543</v>
      </c>
      <c r="C25" s="803"/>
      <c r="D25" s="803"/>
      <c r="E25" s="803"/>
      <c r="F25" s="803"/>
      <c r="G25" s="814">
        <f>SUM(G16:G24)</f>
        <v>6460.269337333335</v>
      </c>
      <c r="H25" s="814">
        <f>SUM(H16:H24)</f>
        <v>77523.232048000034</v>
      </c>
      <c r="I25" s="815">
        <f>SUM(I16:I24)</f>
        <v>1</v>
      </c>
    </row>
    <row r="26" spans="1:9" x14ac:dyDescent="0.35">
      <c r="A26" s="818"/>
    </row>
    <row r="27" spans="1:9" x14ac:dyDescent="0.35">
      <c r="A27" s="802">
        <v>13</v>
      </c>
      <c r="B27" s="819" t="s">
        <v>544</v>
      </c>
      <c r="C27" s="820"/>
      <c r="D27" s="820"/>
      <c r="E27" s="820"/>
      <c r="F27" s="820"/>
      <c r="G27" s="821">
        <f>G12+G25</f>
        <v>21880.769337333342</v>
      </c>
      <c r="H27" s="821">
        <f>H12+H25</f>
        <v>262569.23204800009</v>
      </c>
      <c r="I27" s="822"/>
    </row>
    <row r="29" spans="1:9" x14ac:dyDescent="0.35">
      <c r="H29" s="823"/>
      <c r="I29" s="824"/>
    </row>
    <row r="30" spans="1:9" x14ac:dyDescent="0.35">
      <c r="H30" s="824"/>
      <c r="I30" s="825"/>
    </row>
    <row r="32" spans="1:9" hidden="1" x14ac:dyDescent="0.35">
      <c r="B32" s="797" t="str">
        <f>"max: "&amp;Помещения!C27</f>
        <v xml:space="preserve">max: </v>
      </c>
    </row>
  </sheetData>
  <mergeCells count="1">
    <mergeCell ref="K9:N1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0"/>
  <sheetViews>
    <sheetView showZeros="0" topLeftCell="A4" workbookViewId="0">
      <selection activeCell="E29" sqref="E29"/>
    </sheetView>
  </sheetViews>
  <sheetFormatPr defaultColWidth="9.1796875" defaultRowHeight="14" outlineLevelRow="1" x14ac:dyDescent="0.3"/>
  <cols>
    <col min="1" max="1" width="26.54296875" style="686" customWidth="1"/>
    <col min="2" max="2" width="12.26953125" style="686" customWidth="1"/>
    <col min="3" max="3" width="9.26953125" style="686" customWidth="1"/>
    <col min="4" max="4" width="11.7265625" style="686" customWidth="1"/>
    <col min="5" max="5" width="16.54296875" style="686" customWidth="1"/>
    <col min="6" max="6" width="13" style="686" customWidth="1"/>
    <col min="7" max="16384" width="9.1796875" style="686"/>
  </cols>
  <sheetData>
    <row r="1" spans="1:6" x14ac:dyDescent="0.3">
      <c r="A1" s="684" t="s">
        <v>429</v>
      </c>
      <c r="B1" s="685"/>
      <c r="C1" s="685"/>
      <c r="D1" s="685"/>
      <c r="E1" s="685"/>
      <c r="F1" s="685"/>
    </row>
    <row r="2" spans="1:6" x14ac:dyDescent="0.3">
      <c r="A2" s="685"/>
      <c r="B2" s="687"/>
      <c r="C2" s="685"/>
      <c r="D2" s="685"/>
      <c r="E2" s="685"/>
      <c r="F2" s="685"/>
    </row>
    <row r="3" spans="1:6" x14ac:dyDescent="0.3">
      <c r="A3" s="394"/>
      <c r="B3" s="396" t="s">
        <v>2</v>
      </c>
      <c r="C3" s="396" t="s">
        <v>482</v>
      </c>
      <c r="D3" s="392" t="s">
        <v>0</v>
      </c>
      <c r="E3" s="392" t="s">
        <v>483</v>
      </c>
      <c r="F3" s="392" t="s">
        <v>484</v>
      </c>
    </row>
    <row r="4" spans="1:6" x14ac:dyDescent="0.3">
      <c r="A4" s="688" t="s">
        <v>485</v>
      </c>
      <c r="B4" s="368" t="s">
        <v>337</v>
      </c>
      <c r="C4" s="361">
        <v>6658</v>
      </c>
      <c r="D4" s="691">
        <f>E4/C4</f>
        <v>1198.8824748693301</v>
      </c>
      <c r="E4" s="690">
        <f>SUM(E5:E6)</f>
        <v>7982159.5176799996</v>
      </c>
      <c r="F4" s="908">
        <f>E4/$E$22</f>
        <v>0.94310241883662294</v>
      </c>
    </row>
    <row r="5" spans="1:6" hidden="1" outlineLevel="1" x14ac:dyDescent="0.3">
      <c r="A5" s="373" t="s">
        <v>486</v>
      </c>
      <c r="B5" s="368" t="s">
        <v>337</v>
      </c>
      <c r="C5" s="694">
        <v>6600</v>
      </c>
      <c r="D5" s="694">
        <v>862.75757575757575</v>
      </c>
      <c r="E5" s="694">
        <f>8062159.51768-E6-E16</f>
        <v>7742154.5176799996</v>
      </c>
      <c r="F5" s="692">
        <f>E5/$E$22</f>
        <v>0.91474551923676728</v>
      </c>
    </row>
    <row r="6" spans="1:6" hidden="1" outlineLevel="1" x14ac:dyDescent="0.3">
      <c r="A6" s="840" t="s">
        <v>604</v>
      </c>
      <c r="B6" s="699" t="s">
        <v>606</v>
      </c>
      <c r="C6" s="693">
        <v>10</v>
      </c>
      <c r="D6" s="691">
        <v>24000.5</v>
      </c>
      <c r="E6" s="691">
        <f t="shared" ref="E6" si="0">C6*D6</f>
        <v>240005</v>
      </c>
      <c r="F6" s="841">
        <f>E6/$E$22</f>
        <v>2.8356899599855618E-2</v>
      </c>
    </row>
    <row r="7" spans="1:6" collapsed="1" x14ac:dyDescent="0.3">
      <c r="A7" s="688" t="s">
        <v>487</v>
      </c>
      <c r="B7" s="689"/>
      <c r="C7" s="361">
        <v>1</v>
      </c>
      <c r="D7" s="691">
        <f>SUM(E8:E10)</f>
        <v>218900.03</v>
      </c>
      <c r="E7" s="838">
        <f>SUM(E8:E10)</f>
        <v>218900.03</v>
      </c>
      <c r="F7" s="909">
        <f t="shared" ref="F7:F10" si="1">E7/$E$22</f>
        <v>2.5863320235475856E-2</v>
      </c>
    </row>
    <row r="8" spans="1:6" ht="12.75" hidden="1" customHeight="1" outlineLevel="1" x14ac:dyDescent="0.3">
      <c r="A8" s="373" t="s">
        <v>638</v>
      </c>
      <c r="B8" s="368"/>
      <c r="C8" s="361"/>
      <c r="D8" s="691"/>
      <c r="E8" s="691">
        <v>218900.03</v>
      </c>
      <c r="F8" s="841">
        <f t="shared" si="1"/>
        <v>2.5863320235475856E-2</v>
      </c>
    </row>
    <row r="9" spans="1:6" ht="15" hidden="1" customHeight="1" outlineLevel="1" x14ac:dyDescent="0.3">
      <c r="A9" s="373"/>
      <c r="B9" s="368"/>
      <c r="C9" s="361"/>
      <c r="D9" s="691"/>
      <c r="E9" s="691"/>
      <c r="F9" s="841">
        <f t="shared" si="1"/>
        <v>0</v>
      </c>
    </row>
    <row r="10" spans="1:6" ht="13.5" hidden="1" customHeight="1" outlineLevel="1" x14ac:dyDescent="0.3">
      <c r="A10" s="373"/>
      <c r="B10" s="368"/>
      <c r="C10" s="361"/>
      <c r="D10" s="691"/>
      <c r="E10" s="691"/>
      <c r="F10" s="841">
        <f t="shared" si="1"/>
        <v>0</v>
      </c>
    </row>
    <row r="11" spans="1:6" collapsed="1" x14ac:dyDescent="0.3">
      <c r="A11" s="907" t="s">
        <v>639</v>
      </c>
      <c r="B11" s="368"/>
      <c r="C11" s="361"/>
      <c r="D11" s="691"/>
      <c r="E11" s="690">
        <f>SUM(E12:E14)</f>
        <v>138142.45000000001</v>
      </c>
      <c r="F11" s="909">
        <f>E11/$E$22</f>
        <v>1.6321708235778734E-2</v>
      </c>
    </row>
    <row r="12" spans="1:6" ht="28" x14ac:dyDescent="0.3">
      <c r="A12" s="373" t="s">
        <v>603</v>
      </c>
      <c r="B12" s="368" t="s">
        <v>640</v>
      </c>
      <c r="C12" s="361">
        <v>1</v>
      </c>
      <c r="D12" s="691">
        <v>58142.45</v>
      </c>
      <c r="E12" s="910">
        <v>58142.45</v>
      </c>
      <c r="F12" s="908">
        <f>E11/$E$22</f>
        <v>1.6321708235778734E-2</v>
      </c>
    </row>
    <row r="13" spans="1:6" x14ac:dyDescent="0.3">
      <c r="A13" s="373" t="s">
        <v>637</v>
      </c>
      <c r="B13" s="397" t="s">
        <v>606</v>
      </c>
      <c r="C13" s="361">
        <v>1</v>
      </c>
      <c r="D13" s="691">
        <v>80000</v>
      </c>
      <c r="E13" s="691">
        <v>80000</v>
      </c>
      <c r="F13" s="841">
        <f t="shared" ref="F13:F14" si="2">E13/$E$22</f>
        <v>9.4521029478071266E-3</v>
      </c>
    </row>
    <row r="14" spans="1:6" hidden="1" x14ac:dyDescent="0.3">
      <c r="A14" s="373"/>
      <c r="B14" s="689"/>
      <c r="C14" s="693"/>
      <c r="D14" s="691"/>
      <c r="E14" s="691">
        <f t="shared" ref="E14" si="3">C14*D14</f>
        <v>0</v>
      </c>
      <c r="F14" s="841">
        <f t="shared" si="2"/>
        <v>0</v>
      </c>
    </row>
    <row r="15" spans="1:6" x14ac:dyDescent="0.3">
      <c r="A15" s="688" t="s">
        <v>489</v>
      </c>
      <c r="B15" s="689">
        <v>0</v>
      </c>
      <c r="C15" s="361"/>
      <c r="D15" s="691"/>
      <c r="E15" s="838">
        <f>E16</f>
        <v>80000</v>
      </c>
      <c r="F15" s="908">
        <f t="shared" ref="F15:F20" si="4">E15/$E$22</f>
        <v>9.4521029478071266E-3</v>
      </c>
    </row>
    <row r="16" spans="1:6" x14ac:dyDescent="0.3">
      <c r="A16" s="373" t="s">
        <v>490</v>
      </c>
      <c r="B16" s="368" t="s">
        <v>492</v>
      </c>
      <c r="C16" s="693">
        <v>2</v>
      </c>
      <c r="D16" s="691">
        <v>40000</v>
      </c>
      <c r="E16" s="691">
        <f t="shared" ref="E16" si="5">C16*D16</f>
        <v>80000</v>
      </c>
      <c r="F16" s="692">
        <f t="shared" si="4"/>
        <v>9.4521029478071266E-3</v>
      </c>
    </row>
    <row r="17" spans="1:6" x14ac:dyDescent="0.3">
      <c r="A17" s="688" t="s">
        <v>636</v>
      </c>
      <c r="B17" s="689"/>
      <c r="C17" s="361"/>
      <c r="D17" s="691"/>
      <c r="E17" s="690">
        <f>SUM(E18:E21)</f>
        <v>44523</v>
      </c>
      <c r="F17" s="908">
        <f t="shared" si="4"/>
        <v>5.2604497443152088E-3</v>
      </c>
    </row>
    <row r="18" spans="1:6" hidden="1" x14ac:dyDescent="0.3">
      <c r="A18" s="373"/>
      <c r="B18" s="368"/>
      <c r="C18" s="361"/>
      <c r="D18" s="691"/>
      <c r="E18" s="691"/>
      <c r="F18" s="841">
        <f t="shared" si="4"/>
        <v>0</v>
      </c>
    </row>
    <row r="19" spans="1:6" hidden="1" x14ac:dyDescent="0.3">
      <c r="A19" s="373"/>
      <c r="B19" s="368"/>
      <c r="C19" s="361"/>
      <c r="D19" s="691"/>
      <c r="E19" s="691"/>
      <c r="F19" s="841">
        <f t="shared" si="4"/>
        <v>0</v>
      </c>
    </row>
    <row r="20" spans="1:6" x14ac:dyDescent="0.3">
      <c r="A20" s="373" t="s">
        <v>605</v>
      </c>
      <c r="B20" s="368" t="s">
        <v>492</v>
      </c>
      <c r="C20" s="361">
        <v>1</v>
      </c>
      <c r="D20" s="691">
        <v>44523</v>
      </c>
      <c r="E20" s="691">
        <f>C20*D20</f>
        <v>44523</v>
      </c>
      <c r="F20" s="842">
        <f t="shared" si="4"/>
        <v>5.2604497443152088E-3</v>
      </c>
    </row>
    <row r="21" spans="1:6" hidden="1" x14ac:dyDescent="0.3">
      <c r="A21" s="840"/>
      <c r="B21" s="699"/>
      <c r="C21" s="693"/>
      <c r="D21" s="691"/>
      <c r="E21" s="691"/>
      <c r="F21" s="841"/>
    </row>
    <row r="22" spans="1:6" x14ac:dyDescent="0.3">
      <c r="A22" s="695" t="s">
        <v>319</v>
      </c>
      <c r="B22" s="695"/>
      <c r="C22" s="695"/>
      <c r="D22" s="695"/>
      <c r="E22" s="696">
        <f>E4+E7+E11+E15+E17</f>
        <v>8463724.997680001</v>
      </c>
      <c r="F22" s="697"/>
    </row>
    <row r="23" spans="1:6" x14ac:dyDescent="0.3">
      <c r="A23" s="685"/>
      <c r="B23" s="685"/>
      <c r="C23" s="685"/>
      <c r="D23" s="685"/>
      <c r="E23" s="685"/>
      <c r="F23" s="685"/>
    </row>
    <row r="24" spans="1:6" x14ac:dyDescent="0.3">
      <c r="A24" s="685"/>
      <c r="B24" s="685"/>
      <c r="C24" s="685"/>
      <c r="D24" s="685"/>
      <c r="E24" s="685"/>
      <c r="F24" s="685"/>
    </row>
    <row r="25" spans="1:6" ht="30" customHeight="1" outlineLevel="1" x14ac:dyDescent="0.3">
      <c r="A25" s="698" t="s">
        <v>493</v>
      </c>
      <c r="B25" s="685"/>
      <c r="C25" s="685"/>
      <c r="D25" s="685"/>
      <c r="E25" s="685"/>
      <c r="F25" s="685"/>
    </row>
    <row r="26" spans="1:6" outlineLevel="1" x14ac:dyDescent="0.3">
      <c r="A26" s="685">
        <f>[3]Инвестиции!A23</f>
        <v>0</v>
      </c>
      <c r="B26" s="699">
        <f>[3]Инвестиции!B23</f>
        <v>0</v>
      </c>
      <c r="C26" s="699">
        <f>[3]Инвестиции!C23</f>
        <v>0</v>
      </c>
      <c r="D26" s="685"/>
      <c r="E26" s="685"/>
      <c r="F26" s="685"/>
    </row>
    <row r="27" spans="1:6" outlineLevel="1" x14ac:dyDescent="0.3">
      <c r="A27" s="700" t="s">
        <v>485</v>
      </c>
      <c r="B27" s="699">
        <v>13</v>
      </c>
      <c r="C27" s="839">
        <f>100/B27/100</f>
        <v>7.6923076923076927E-2</v>
      </c>
      <c r="D27" s="685"/>
      <c r="E27" s="685"/>
      <c r="F27" s="685"/>
    </row>
    <row r="28" spans="1:6" outlineLevel="1" x14ac:dyDescent="0.3">
      <c r="A28" s="700" t="s">
        <v>487</v>
      </c>
      <c r="B28" s="699">
        <v>13</v>
      </c>
      <c r="C28" s="839">
        <f>100/B28/100</f>
        <v>7.6923076923076927E-2</v>
      </c>
      <c r="D28" s="685"/>
      <c r="E28" s="685"/>
      <c r="F28" s="685"/>
    </row>
    <row r="29" spans="1:6" outlineLevel="1" x14ac:dyDescent="0.3">
      <c r="A29" s="700" t="str">
        <f>A12</f>
        <v>Elektriliitumine ja liitumine keskküttega</v>
      </c>
      <c r="B29" s="699">
        <v>13</v>
      </c>
      <c r="C29" s="839">
        <f>100/B29/100</f>
        <v>7.6923076923076927E-2</v>
      </c>
      <c r="D29" s="685"/>
      <c r="E29" s="685"/>
      <c r="F29" s="685"/>
    </row>
    <row r="30" spans="1:6" outlineLevel="1" x14ac:dyDescent="0.3">
      <c r="A30" s="700" t="s">
        <v>636</v>
      </c>
      <c r="B30" s="699">
        <v>13</v>
      </c>
      <c r="C30" s="839">
        <f>100/B30/100</f>
        <v>7.6923076923076927E-2</v>
      </c>
      <c r="D30" s="685"/>
      <c r="E30" s="685"/>
      <c r="F30" s="685"/>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22"/>
  <sheetViews>
    <sheetView workbookViewId="0">
      <selection activeCell="M15" sqref="M15"/>
    </sheetView>
  </sheetViews>
  <sheetFormatPr defaultColWidth="9.1796875" defaultRowHeight="14" x14ac:dyDescent="0.3"/>
  <cols>
    <col min="1" max="1" width="24.81640625" style="685" customWidth="1"/>
    <col min="2" max="2" width="9.7265625" style="685" customWidth="1"/>
    <col min="3" max="3" width="10.54296875" style="685" customWidth="1"/>
    <col min="4" max="16384" width="9.1796875" style="685"/>
  </cols>
  <sheetData>
    <row r="2" spans="1:9" ht="14.5" thickBot="1" x14ac:dyDescent="0.35"/>
    <row r="3" spans="1:9" ht="16.5" customHeight="1" x14ac:dyDescent="0.3">
      <c r="A3" s="1013" t="str">
        <f>'SM moju'!B92</f>
        <v>Näitaja</v>
      </c>
      <c r="B3" s="1014">
        <f>'SM moju'!C92</f>
        <v>0</v>
      </c>
      <c r="C3" s="1019" t="str">
        <f>'SM moju'!D92</f>
        <v>Tähendus</v>
      </c>
      <c r="D3" s="1020"/>
      <c r="E3" s="1020"/>
      <c r="F3" s="1021"/>
    </row>
    <row r="4" spans="1:9" ht="18" customHeight="1" thickBot="1" x14ac:dyDescent="0.35">
      <c r="A4" s="1015">
        <f>'SM moju'!B93</f>
        <v>0</v>
      </c>
      <c r="B4" s="1016">
        <f>'SM moju'!C93</f>
        <v>0</v>
      </c>
      <c r="C4" s="1022"/>
      <c r="D4" s="1023"/>
      <c r="E4" s="1023"/>
      <c r="F4" s="1024"/>
    </row>
    <row r="5" spans="1:9" ht="15.5" x14ac:dyDescent="0.35">
      <c r="A5" s="1017" t="str">
        <f>'SM moju'!B94</f>
        <v>NPV</v>
      </c>
      <c r="B5" s="1018">
        <f>'SM moju'!C94</f>
        <v>0</v>
      </c>
      <c r="C5" s="858"/>
      <c r="D5" s="859">
        <f>'SM moju'!F94</f>
        <v>48584588.770054802</v>
      </c>
      <c r="E5" s="860" t="str">
        <f>'SM moju'!G94</f>
        <v>mln eurot</v>
      </c>
      <c r="F5" s="861"/>
      <c r="H5" s="712">
        <f>'SM moju'!I94</f>
        <v>4.0290191485989721</v>
      </c>
      <c r="I5" s="712">
        <f>'SM moju'!J94</f>
        <v>9.13705740623511</v>
      </c>
    </row>
    <row r="6" spans="1:9" ht="15.5" x14ac:dyDescent="0.35">
      <c r="A6" s="1011" t="str">
        <f>'SM moju'!B95</f>
        <v>PI</v>
      </c>
      <c r="B6" s="1012">
        <f>'SM moju'!C95</f>
        <v>0</v>
      </c>
      <c r="C6" s="862"/>
      <c r="D6" s="863">
        <f>'SM moju'!F95</f>
        <v>6.9699449515086194</v>
      </c>
      <c r="E6" s="864">
        <f>'SM moju'!G95</f>
        <v>0</v>
      </c>
      <c r="F6" s="865"/>
    </row>
    <row r="7" spans="1:9" ht="15.5" x14ac:dyDescent="0.35">
      <c r="A7" s="1011" t="str">
        <f>'SM moju'!B96</f>
        <v>IRR</v>
      </c>
      <c r="B7" s="1012">
        <f>'SM moju'!C96</f>
        <v>0</v>
      </c>
      <c r="C7" s="866"/>
      <c r="D7" s="867">
        <f>'SM moju'!F96</f>
        <v>0.36548229624940443</v>
      </c>
      <c r="E7" s="864">
        <f>'SM moju'!G96</f>
        <v>0</v>
      </c>
      <c r="F7" s="865"/>
    </row>
    <row r="8" spans="1:9" ht="16" thickBot="1" x14ac:dyDescent="0.4">
      <c r="A8" s="1025" t="str">
        <f>'SM moju'!B97</f>
        <v>DPP</v>
      </c>
      <c r="B8" s="1026">
        <f>'SM moju'!C97</f>
        <v>0</v>
      </c>
      <c r="C8" s="868"/>
      <c r="D8" s="869">
        <f>'SM moju'!F97</f>
        <v>5</v>
      </c>
      <c r="E8" s="870" t="str">
        <f>'SM moju'!G97</f>
        <v>aasta</v>
      </c>
      <c r="F8" s="871"/>
    </row>
    <row r="12" spans="1:9" ht="33.75" customHeight="1" x14ac:dyDescent="0.3">
      <c r="A12" s="363"/>
      <c r="B12" s="363"/>
      <c r="C12" s="1027" t="s">
        <v>512</v>
      </c>
      <c r="D12" s="1027"/>
      <c r="E12" s="1027"/>
      <c r="F12" s="1027"/>
      <c r="G12" s="1027"/>
      <c r="H12" s="1027"/>
    </row>
    <row r="13" spans="1:9" ht="23.25" customHeight="1" x14ac:dyDescent="0.3">
      <c r="A13" s="730"/>
      <c r="B13" s="385"/>
      <c r="C13" s="1028" t="s">
        <v>513</v>
      </c>
      <c r="D13" s="1029"/>
      <c r="E13" s="1028" t="s">
        <v>514</v>
      </c>
      <c r="F13" s="1029"/>
      <c r="G13" s="1028" t="s">
        <v>619</v>
      </c>
      <c r="H13" s="1029"/>
    </row>
    <row r="14" spans="1:9" ht="15.5" x14ac:dyDescent="0.3">
      <c r="A14" s="1030" t="s">
        <v>515</v>
      </c>
      <c r="B14" s="1030"/>
      <c r="C14" s="1031">
        <f>'SM moju'!AI48</f>
        <v>348.8</v>
      </c>
      <c r="D14" s="1032"/>
      <c r="E14" s="1033">
        <f>'SM moju'!AJ48</f>
        <v>588.6</v>
      </c>
      <c r="F14" s="1034"/>
      <c r="G14" s="1033">
        <f>'SM moju'!AK48</f>
        <v>828.4</v>
      </c>
      <c r="H14" s="1034"/>
    </row>
    <row r="15" spans="1:9" ht="34.5" customHeight="1" x14ac:dyDescent="0.3">
      <c r="A15" s="1030" t="s">
        <v>516</v>
      </c>
      <c r="B15" s="1030"/>
      <c r="C15" s="1028"/>
      <c r="D15" s="1029"/>
      <c r="E15" s="1028"/>
      <c r="F15" s="1029"/>
      <c r="G15" s="1028"/>
      <c r="H15" s="1029"/>
    </row>
    <row r="16" spans="1:9" ht="15.5" x14ac:dyDescent="0.3">
      <c r="A16" s="1035" t="s">
        <v>517</v>
      </c>
      <c r="B16" s="1035"/>
      <c r="C16" s="1036">
        <f>'SM moju'!AI43/1000000</f>
        <v>4.4627746176</v>
      </c>
      <c r="D16" s="1037"/>
      <c r="E16" s="1036">
        <f>'SM moju'!AJ43/1000000</f>
        <v>17.107302700800002</v>
      </c>
      <c r="F16" s="1037"/>
      <c r="G16" s="1036">
        <f>'SM moju'!AK43/1000000</f>
        <v>28.512171168000002</v>
      </c>
      <c r="H16" s="1037"/>
    </row>
    <row r="17" spans="1:8" ht="15.5" x14ac:dyDescent="0.3">
      <c r="A17" s="1035" t="s">
        <v>518</v>
      </c>
      <c r="B17" s="1035"/>
      <c r="C17" s="1036">
        <f>'SM moju'!AI44/1000000</f>
        <v>1.6461211392000004</v>
      </c>
      <c r="D17" s="1037"/>
      <c r="E17" s="1036">
        <f>'SM moju'!AJ44/1000000</f>
        <v>6.3101310336000012</v>
      </c>
      <c r="F17" s="1037"/>
      <c r="G17" s="1036">
        <f>'SM moju'!AK44/1000000</f>
        <v>10.516885056000001</v>
      </c>
      <c r="H17" s="1037"/>
    </row>
    <row r="18" spans="1:8" ht="15.5" x14ac:dyDescent="0.3">
      <c r="A18" s="1035" t="s">
        <v>519</v>
      </c>
      <c r="B18" s="1035"/>
      <c r="C18" s="1036">
        <f>'SM moju'!AI46/1000000</f>
        <v>5.6530015999999996</v>
      </c>
      <c r="D18" s="1037"/>
      <c r="E18" s="1036">
        <f>'SM moju'!AJ46/1000000</f>
        <v>22.909532799999997</v>
      </c>
      <c r="F18" s="1037"/>
      <c r="G18" s="1036">
        <f>'SM moju'!AK46/1000000</f>
        <v>38.678432000000001</v>
      </c>
      <c r="H18" s="1037"/>
    </row>
    <row r="19" spans="1:8" ht="31.5" customHeight="1" x14ac:dyDescent="0.3">
      <c r="A19" s="1035" t="s">
        <v>520</v>
      </c>
      <c r="B19" s="1035"/>
      <c r="C19" s="1036">
        <f>('SM moju'!AI40+'SM moju'!AI17)/1000000</f>
        <v>0.95228107902720016</v>
      </c>
      <c r="D19" s="1037"/>
      <c r="E19" s="1036">
        <f>('SM moju'!AJ17+'SM moju'!AJ40)/1000000</f>
        <v>3.6504108029376008</v>
      </c>
      <c r="F19" s="1037"/>
      <c r="G19" s="1036">
        <f>('SM moju'!AK40+'SM moju'!AK17)/1000000</f>
        <v>6.0840180048960004</v>
      </c>
      <c r="H19" s="1037"/>
    </row>
    <row r="20" spans="1:8" ht="33.75" customHeight="1" x14ac:dyDescent="0.3">
      <c r="A20" s="1030" t="s">
        <v>521</v>
      </c>
      <c r="B20" s="1030"/>
      <c r="C20" s="1031">
        <f>'SM moju'!AI62/1000000</f>
        <v>31.427050300000008</v>
      </c>
      <c r="D20" s="1032"/>
      <c r="E20" s="1031">
        <f>'SM moju'!AJ62/1000000</f>
        <v>57.854100600000017</v>
      </c>
      <c r="F20" s="1032"/>
      <c r="G20" s="1033">
        <f>'SM moju'!AK62/1000000</f>
        <v>84.281150900000014</v>
      </c>
      <c r="H20" s="1034"/>
    </row>
    <row r="21" spans="1:8" ht="35.25" customHeight="1" x14ac:dyDescent="0.3">
      <c r="A21" s="1030" t="s">
        <v>522</v>
      </c>
      <c r="B21" s="1030"/>
      <c r="C21" s="1031">
        <f>'SM moju'!AI59/1000000</f>
        <v>113.06003200000001</v>
      </c>
      <c r="D21" s="1032"/>
      <c r="E21" s="1031">
        <f>'SM moju'!AJ59/1000000</f>
        <v>458.19065599999999</v>
      </c>
      <c r="F21" s="1032"/>
      <c r="G21" s="1033">
        <f>'SM moju'!AK59/1000000</f>
        <v>773.56863999999996</v>
      </c>
      <c r="H21" s="1034"/>
    </row>
    <row r="22" spans="1:8" ht="35.25" customHeight="1" x14ac:dyDescent="0.3">
      <c r="A22" s="1030" t="s">
        <v>523</v>
      </c>
      <c r="B22" s="1030"/>
      <c r="C22" s="1031">
        <f>'SM moju'!AI60/1000000</f>
        <v>27.938879999999994</v>
      </c>
      <c r="D22" s="1032"/>
      <c r="E22" s="1031">
        <f>'SM moju'!AJ60/1000000</f>
        <v>107.09903999999999</v>
      </c>
      <c r="F22" s="1032"/>
      <c r="G22" s="1031">
        <f>'SM moju'!AK60/1000000</f>
        <v>178.49839999999998</v>
      </c>
      <c r="H22" s="1032"/>
    </row>
  </sheetData>
  <mergeCells count="46">
    <mergeCell ref="A22:B22"/>
    <mergeCell ref="C22:D22"/>
    <mergeCell ref="E22:F22"/>
    <mergeCell ref="G22:H22"/>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A16:B16"/>
    <mergeCell ref="C16:D16"/>
    <mergeCell ref="E16:F16"/>
    <mergeCell ref="G16:H16"/>
    <mergeCell ref="A17:B17"/>
    <mergeCell ref="C17:D17"/>
    <mergeCell ref="E17:F17"/>
    <mergeCell ref="G17:H17"/>
    <mergeCell ref="A14:B14"/>
    <mergeCell ref="C14:D14"/>
    <mergeCell ref="E14:F14"/>
    <mergeCell ref="G14:H14"/>
    <mergeCell ref="A15:B15"/>
    <mergeCell ref="C15:D15"/>
    <mergeCell ref="E15:F15"/>
    <mergeCell ref="G15:H15"/>
    <mergeCell ref="A8:B8"/>
    <mergeCell ref="C12:H12"/>
    <mergeCell ref="C13:D13"/>
    <mergeCell ref="E13:F13"/>
    <mergeCell ref="G13:H13"/>
    <mergeCell ref="A6:B6"/>
    <mergeCell ref="A3:B4"/>
    <mergeCell ref="A5:B5"/>
    <mergeCell ref="C3:F4"/>
    <mergeCell ref="A7:B7"/>
  </mergeCells>
  <conditionalFormatting sqref="E6:E7">
    <cfRule type="cellIs" dxfId="0" priority="1" operator="equal">
      <formula>0</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136"/>
  <sheetViews>
    <sheetView showZeros="0" zoomScale="85" zoomScaleNormal="85" workbookViewId="0">
      <pane xSplit="3" ySplit="3" topLeftCell="F45" activePane="bottomRight" state="frozen"/>
      <selection activeCell="E27" sqref="E27"/>
      <selection pane="topRight" activeCell="E27" sqref="E27"/>
      <selection pane="bottomLeft" activeCell="E27" sqref="E27"/>
      <selection pane="bottomRight" activeCell="AP91" sqref="AP91"/>
    </sheetView>
  </sheetViews>
  <sheetFormatPr defaultColWidth="9.1796875" defaultRowHeight="11.5" x14ac:dyDescent="0.25"/>
  <cols>
    <col min="1" max="1" width="36.54296875" style="403" customWidth="1"/>
    <col min="2" max="2" width="10" style="403" hidden="1" customWidth="1"/>
    <col min="3" max="3" width="10.26953125" style="403" customWidth="1"/>
    <col min="4" max="4" width="8.1796875" style="403" hidden="1" customWidth="1"/>
    <col min="5" max="5" width="7.81640625" style="403" hidden="1" customWidth="1"/>
    <col min="6" max="18" width="6.7265625" style="403" customWidth="1"/>
    <col min="19" max="30" width="6.7265625" style="403" hidden="1" customWidth="1"/>
    <col min="31" max="31" width="9.453125" style="403" hidden="1" customWidth="1"/>
    <col min="32" max="32" width="3.453125" style="403" customWidth="1"/>
    <col min="33" max="33" width="8.81640625" style="403" customWidth="1"/>
    <col min="34" max="34" width="3.453125" style="403" customWidth="1"/>
    <col min="35" max="35" width="7.26953125" style="403" hidden="1" customWidth="1"/>
    <col min="36" max="36" width="8.26953125" style="403" hidden="1" customWidth="1"/>
    <col min="37" max="37" width="33.54296875" style="403" hidden="1" customWidth="1"/>
    <col min="38" max="38" width="37.7265625" style="403" hidden="1" customWidth="1"/>
    <col min="39" max="39" width="9.1796875" style="403" customWidth="1"/>
    <col min="40" max="16384" width="9.1796875" style="403"/>
  </cols>
  <sheetData>
    <row r="1" spans="1:39" x14ac:dyDescent="0.25">
      <c r="A1" s="402"/>
      <c r="D1" s="1039" t="str">
        <f>'[4]projekti elluviimise kulud'!F1</f>
        <v>Projekti realiseerimine</v>
      </c>
      <c r="E1" s="1040"/>
      <c r="F1" s="1044" t="s">
        <v>613</v>
      </c>
      <c r="G1" s="1045"/>
      <c r="H1" s="1045"/>
      <c r="I1" s="1045"/>
      <c r="J1" s="1045"/>
      <c r="K1" s="1045"/>
      <c r="L1" s="1045"/>
      <c r="M1" s="1045"/>
      <c r="N1" s="1045"/>
      <c r="O1" s="1045"/>
      <c r="P1" s="1045"/>
      <c r="Q1" s="1045"/>
      <c r="R1" s="1045"/>
      <c r="S1" s="857"/>
      <c r="T1" s="857"/>
      <c r="U1" s="857"/>
      <c r="V1" s="857"/>
      <c r="W1" s="857"/>
      <c r="X1" s="857"/>
      <c r="Y1" s="857"/>
      <c r="Z1" s="857"/>
      <c r="AA1" s="857"/>
      <c r="AB1" s="857"/>
      <c r="AC1" s="857"/>
      <c r="AD1" s="857"/>
      <c r="AE1" s="444">
        <v>0</v>
      </c>
      <c r="AF1" s="404"/>
      <c r="AG1" s="404"/>
      <c r="AH1" s="404"/>
      <c r="AI1" s="404"/>
      <c r="AJ1" s="404"/>
    </row>
    <row r="2" spans="1:39" ht="12" thickBot="1" x14ac:dyDescent="0.3">
      <c r="A2" s="405"/>
      <c r="B2" s="406"/>
      <c r="C2" s="406"/>
      <c r="D2" s="1041" t="str">
        <f>'[4]projekti elluviimise kulud'!F2</f>
        <v>(Investeerimisperiood)</v>
      </c>
      <c r="E2" s="1042"/>
      <c r="F2" s="407">
        <f>'[4]projekti elluviimise kulud'!H2</f>
        <v>1</v>
      </c>
      <c r="G2" s="408">
        <f>'[4]projekti elluviimise kulud'!I2</f>
        <v>2</v>
      </c>
      <c r="H2" s="408">
        <f>'[4]projekti elluviimise kulud'!J2</f>
        <v>3</v>
      </c>
      <c r="I2" s="408">
        <f>'[4]projekti elluviimise kulud'!K2</f>
        <v>4</v>
      </c>
      <c r="J2" s="408">
        <f>'[4]projekti elluviimise kulud'!L2</f>
        <v>5</v>
      </c>
      <c r="K2" s="408">
        <f>'[4]projekti elluviimise kulud'!M2</f>
        <v>6</v>
      </c>
      <c r="L2" s="408">
        <f>'[4]projekti elluviimise kulud'!N2</f>
        <v>7</v>
      </c>
      <c r="M2" s="408">
        <f>'[4]projekti elluviimise kulud'!O2</f>
        <v>8</v>
      </c>
      <c r="N2" s="408">
        <f>'[4]projekti elluviimise kulud'!P2</f>
        <v>9</v>
      </c>
      <c r="O2" s="408">
        <f>'[4]projekti elluviimise kulud'!Q2</f>
        <v>10</v>
      </c>
      <c r="P2" s="408">
        <f>'[4]projekti elluviimise kulud'!R2</f>
        <v>11</v>
      </c>
      <c r="Q2" s="408">
        <f>'[4]projekti elluviimise kulud'!S2</f>
        <v>12</v>
      </c>
      <c r="R2" s="408">
        <f>'[4]projekti elluviimise kulud'!T2</f>
        <v>13</v>
      </c>
      <c r="S2" s="408">
        <f>'[4]projekti elluviimise kulud'!U2</f>
        <v>14</v>
      </c>
      <c r="T2" s="408">
        <f>'[4]projekti elluviimise kulud'!V2</f>
        <v>15</v>
      </c>
      <c r="U2" s="408">
        <f>'[4]projekti elluviimise kulud'!W2</f>
        <v>16</v>
      </c>
      <c r="V2" s="408">
        <f>'[4]projekti elluviimise kulud'!X2</f>
        <v>17</v>
      </c>
      <c r="W2" s="408">
        <f>'[4]projekti elluviimise kulud'!Y2</f>
        <v>18</v>
      </c>
      <c r="X2" s="408">
        <f>'[4]projekti elluviimise kulud'!Z2</f>
        <v>19</v>
      </c>
      <c r="Y2" s="408">
        <f>'[4]projekti elluviimise kulud'!AA2</f>
        <v>20</v>
      </c>
      <c r="Z2" s="408">
        <f>'[4]projekti elluviimise kulud'!AB2</f>
        <v>21</v>
      </c>
      <c r="AA2" s="408">
        <f>'[4]projekti elluviimise kulud'!AC2</f>
        <v>22</v>
      </c>
      <c r="AB2" s="408">
        <f>'[4]projekti elluviimise kulud'!AD2</f>
        <v>23</v>
      </c>
      <c r="AC2" s="408">
        <f>'[4]projekti elluviimise kulud'!AE2</f>
        <v>24</v>
      </c>
      <c r="AD2" s="409">
        <f>'[4]projekti elluviimise kulud'!AF2</f>
        <v>25</v>
      </c>
      <c r="AE2" s="410" t="s">
        <v>79</v>
      </c>
    </row>
    <row r="3" spans="1:39" ht="27" customHeight="1" thickTop="1" thickBot="1" x14ac:dyDescent="0.3">
      <c r="A3" s="411" t="s">
        <v>264</v>
      </c>
      <c r="B3" s="412"/>
      <c r="C3" s="413"/>
      <c r="D3" s="414">
        <f>[5]Esileht!B10</f>
        <v>2023</v>
      </c>
      <c r="E3" s="415">
        <f>D3+1</f>
        <v>2024</v>
      </c>
      <c r="F3" s="416">
        <f t="shared" ref="F3:AD3" si="0">E3+1</f>
        <v>2025</v>
      </c>
      <c r="G3" s="413">
        <f t="shared" si="0"/>
        <v>2026</v>
      </c>
      <c r="H3" s="413">
        <f t="shared" si="0"/>
        <v>2027</v>
      </c>
      <c r="I3" s="413">
        <f t="shared" si="0"/>
        <v>2028</v>
      </c>
      <c r="J3" s="413">
        <f t="shared" si="0"/>
        <v>2029</v>
      </c>
      <c r="K3" s="413">
        <f t="shared" si="0"/>
        <v>2030</v>
      </c>
      <c r="L3" s="413">
        <f t="shared" si="0"/>
        <v>2031</v>
      </c>
      <c r="M3" s="413">
        <f t="shared" si="0"/>
        <v>2032</v>
      </c>
      <c r="N3" s="413">
        <f t="shared" si="0"/>
        <v>2033</v>
      </c>
      <c r="O3" s="413">
        <f t="shared" si="0"/>
        <v>2034</v>
      </c>
      <c r="P3" s="413">
        <f t="shared" si="0"/>
        <v>2035</v>
      </c>
      <c r="Q3" s="413">
        <f t="shared" si="0"/>
        <v>2036</v>
      </c>
      <c r="R3" s="413">
        <f t="shared" si="0"/>
        <v>2037</v>
      </c>
      <c r="S3" s="413">
        <f t="shared" si="0"/>
        <v>2038</v>
      </c>
      <c r="T3" s="413">
        <f t="shared" si="0"/>
        <v>2039</v>
      </c>
      <c r="U3" s="413">
        <f t="shared" si="0"/>
        <v>2040</v>
      </c>
      <c r="V3" s="413">
        <f t="shared" si="0"/>
        <v>2041</v>
      </c>
      <c r="W3" s="413">
        <f t="shared" si="0"/>
        <v>2042</v>
      </c>
      <c r="X3" s="413">
        <f t="shared" si="0"/>
        <v>2043</v>
      </c>
      <c r="Y3" s="413">
        <f t="shared" si="0"/>
        <v>2044</v>
      </c>
      <c r="Z3" s="413">
        <f t="shared" si="0"/>
        <v>2045</v>
      </c>
      <c r="AA3" s="413">
        <f t="shared" si="0"/>
        <v>2046</v>
      </c>
      <c r="AB3" s="413">
        <f t="shared" si="0"/>
        <v>2047</v>
      </c>
      <c r="AC3" s="413">
        <f t="shared" si="0"/>
        <v>2048</v>
      </c>
      <c r="AD3" s="417">
        <f t="shared" si="0"/>
        <v>2049</v>
      </c>
      <c r="AE3" s="418" t="str">
        <f>D3&amp;"-"&amp;AD3</f>
        <v>2023-2049</v>
      </c>
      <c r="AF3" s="419"/>
      <c r="AG3" s="419"/>
      <c r="AH3" s="419"/>
      <c r="AI3" s="1043" t="s">
        <v>334</v>
      </c>
      <c r="AJ3" s="1043"/>
      <c r="AK3" s="1043"/>
      <c r="AL3" s="420" t="s">
        <v>335</v>
      </c>
    </row>
    <row r="4" spans="1:39" ht="12.5" thickTop="1" x14ac:dyDescent="0.25">
      <c r="A4" s="421"/>
      <c r="B4" s="422"/>
      <c r="C4" s="423"/>
      <c r="D4" s="424"/>
      <c r="E4" s="425"/>
      <c r="F4" s="426"/>
      <c r="G4" s="427"/>
      <c r="H4" s="427"/>
      <c r="I4" s="427"/>
      <c r="J4" s="428"/>
      <c r="K4" s="428"/>
      <c r="L4" s="428"/>
      <c r="M4" s="428"/>
      <c r="N4" s="428"/>
      <c r="O4" s="428"/>
      <c r="P4" s="428"/>
      <c r="Q4" s="428"/>
      <c r="R4" s="428"/>
      <c r="S4" s="428"/>
      <c r="T4" s="428"/>
      <c r="U4" s="428"/>
      <c r="V4" s="428"/>
      <c r="W4" s="428"/>
      <c r="X4" s="428"/>
      <c r="Y4" s="428"/>
      <c r="Z4" s="428"/>
      <c r="AA4" s="428"/>
      <c r="AB4" s="428"/>
      <c r="AC4" s="428"/>
      <c r="AD4" s="429"/>
      <c r="AE4" s="430"/>
      <c r="AF4" s="428"/>
      <c r="AG4" s="428"/>
      <c r="AH4" s="428"/>
      <c r="AI4" s="431"/>
      <c r="AJ4" s="428"/>
      <c r="AK4" s="432"/>
      <c r="AL4" s="433"/>
    </row>
    <row r="5" spans="1:39" ht="12" hidden="1" x14ac:dyDescent="0.25">
      <c r="A5" s="434"/>
      <c r="B5" s="435"/>
      <c r="C5" s="436"/>
      <c r="D5" s="437"/>
      <c r="E5" s="438"/>
      <c r="F5" s="439"/>
      <c r="G5" s="440"/>
      <c r="H5" s="440"/>
      <c r="I5" s="440"/>
      <c r="J5" s="441"/>
      <c r="K5" s="441"/>
      <c r="L5" s="441"/>
      <c r="M5" s="441"/>
      <c r="N5" s="441"/>
      <c r="O5" s="441"/>
      <c r="P5" s="441"/>
      <c r="Q5" s="441"/>
      <c r="R5" s="441"/>
      <c r="S5" s="441"/>
      <c r="T5" s="441"/>
      <c r="U5" s="441"/>
      <c r="V5" s="441"/>
      <c r="W5" s="441"/>
      <c r="X5" s="441"/>
      <c r="Y5" s="441"/>
      <c r="Z5" s="441"/>
      <c r="AA5" s="441"/>
      <c r="AB5" s="441"/>
      <c r="AC5" s="441"/>
      <c r="AD5" s="442"/>
      <c r="AE5" s="442"/>
      <c r="AF5" s="428"/>
      <c r="AG5" s="428"/>
      <c r="AH5" s="428"/>
      <c r="AI5" s="443"/>
      <c r="AJ5" s="441"/>
      <c r="AK5" s="444"/>
      <c r="AL5" s="445"/>
    </row>
    <row r="6" spans="1:39" ht="25.5" customHeight="1" x14ac:dyDescent="0.25">
      <c r="A6" s="446" t="s">
        <v>336</v>
      </c>
      <c r="B6" s="441"/>
      <c r="C6" s="447" t="s">
        <v>337</v>
      </c>
      <c r="D6" s="448"/>
      <c r="E6" s="449"/>
      <c r="F6" s="450">
        <f>Помещения!D57</f>
        <v>5892.9000000000033</v>
      </c>
      <c r="G6" s="451">
        <f>F6</f>
        <v>5892.9000000000033</v>
      </c>
      <c r="H6" s="451">
        <f>G6</f>
        <v>5892.9000000000033</v>
      </c>
      <c r="I6" s="451">
        <f t="shared" ref="I6:AD6" si="1">H6</f>
        <v>5892.9000000000033</v>
      </c>
      <c r="J6" s="451">
        <f t="shared" si="1"/>
        <v>5892.9000000000033</v>
      </c>
      <c r="K6" s="451">
        <f t="shared" si="1"/>
        <v>5892.9000000000033</v>
      </c>
      <c r="L6" s="451">
        <f t="shared" si="1"/>
        <v>5892.9000000000033</v>
      </c>
      <c r="M6" s="451">
        <f t="shared" si="1"/>
        <v>5892.9000000000033</v>
      </c>
      <c r="N6" s="451">
        <f t="shared" si="1"/>
        <v>5892.9000000000033</v>
      </c>
      <c r="O6" s="451">
        <f t="shared" si="1"/>
        <v>5892.9000000000033</v>
      </c>
      <c r="P6" s="451">
        <f t="shared" si="1"/>
        <v>5892.9000000000033</v>
      </c>
      <c r="Q6" s="451">
        <f t="shared" si="1"/>
        <v>5892.9000000000033</v>
      </c>
      <c r="R6" s="451">
        <f t="shared" si="1"/>
        <v>5892.9000000000033</v>
      </c>
      <c r="S6" s="451">
        <f t="shared" si="1"/>
        <v>5892.9000000000033</v>
      </c>
      <c r="T6" s="451">
        <f t="shared" si="1"/>
        <v>5892.9000000000033</v>
      </c>
      <c r="U6" s="451">
        <f t="shared" si="1"/>
        <v>5892.9000000000033</v>
      </c>
      <c r="V6" s="451">
        <f t="shared" si="1"/>
        <v>5892.9000000000033</v>
      </c>
      <c r="W6" s="451">
        <f t="shared" si="1"/>
        <v>5892.9000000000033</v>
      </c>
      <c r="X6" s="451">
        <f t="shared" si="1"/>
        <v>5892.9000000000033</v>
      </c>
      <c r="Y6" s="451">
        <f t="shared" si="1"/>
        <v>5892.9000000000033</v>
      </c>
      <c r="Z6" s="451">
        <f t="shared" si="1"/>
        <v>5892.9000000000033</v>
      </c>
      <c r="AA6" s="451">
        <f t="shared" si="1"/>
        <v>5892.9000000000033</v>
      </c>
      <c r="AB6" s="451">
        <f t="shared" si="1"/>
        <v>5892.9000000000033</v>
      </c>
      <c r="AC6" s="451">
        <f t="shared" si="1"/>
        <v>5892.9000000000033</v>
      </c>
      <c r="AD6" s="452">
        <f t="shared" si="1"/>
        <v>5892.9000000000033</v>
      </c>
      <c r="AE6" s="452"/>
      <c r="AF6" s="453"/>
      <c r="AG6" s="453"/>
      <c r="AH6" s="453"/>
      <c r="AI6" s="454"/>
      <c r="AJ6" s="455"/>
      <c r="AK6" s="456"/>
      <c r="AL6" s="457"/>
    </row>
    <row r="7" spans="1:39" ht="28.5" customHeight="1" x14ac:dyDescent="0.25">
      <c r="A7" s="446" t="s">
        <v>338</v>
      </c>
      <c r="B7" s="441"/>
      <c r="C7" s="447" t="s">
        <v>337</v>
      </c>
      <c r="D7" s="448"/>
      <c r="E7" s="449"/>
      <c r="F7" s="451">
        <f>Помещения!D52</f>
        <v>275.29999999999995</v>
      </c>
      <c r="G7" s="451">
        <f>F7</f>
        <v>275.29999999999995</v>
      </c>
      <c r="H7" s="451">
        <f t="shared" ref="H7:AC8" si="2">G7</f>
        <v>275.29999999999995</v>
      </c>
      <c r="I7" s="451">
        <f t="shared" si="2"/>
        <v>275.29999999999995</v>
      </c>
      <c r="J7" s="451">
        <f t="shared" si="2"/>
        <v>275.29999999999995</v>
      </c>
      <c r="K7" s="451">
        <f t="shared" si="2"/>
        <v>275.29999999999995</v>
      </c>
      <c r="L7" s="451">
        <f t="shared" si="2"/>
        <v>275.29999999999995</v>
      </c>
      <c r="M7" s="451">
        <f t="shared" si="2"/>
        <v>275.29999999999995</v>
      </c>
      <c r="N7" s="451">
        <f t="shared" si="2"/>
        <v>275.29999999999995</v>
      </c>
      <c r="O7" s="451">
        <f t="shared" si="2"/>
        <v>275.29999999999995</v>
      </c>
      <c r="P7" s="451">
        <f t="shared" si="2"/>
        <v>275.29999999999995</v>
      </c>
      <c r="Q7" s="451">
        <f t="shared" si="2"/>
        <v>275.29999999999995</v>
      </c>
      <c r="R7" s="451">
        <f t="shared" si="2"/>
        <v>275.29999999999995</v>
      </c>
      <c r="S7" s="451">
        <f t="shared" si="2"/>
        <v>275.29999999999995</v>
      </c>
      <c r="T7" s="451">
        <f t="shared" si="2"/>
        <v>275.29999999999995</v>
      </c>
      <c r="U7" s="451">
        <f t="shared" si="2"/>
        <v>275.29999999999995</v>
      </c>
      <c r="V7" s="451">
        <f t="shared" si="2"/>
        <v>275.29999999999995</v>
      </c>
      <c r="W7" s="451">
        <f t="shared" si="2"/>
        <v>275.29999999999995</v>
      </c>
      <c r="X7" s="451">
        <f t="shared" si="2"/>
        <v>275.29999999999995</v>
      </c>
      <c r="Y7" s="451">
        <f t="shared" si="2"/>
        <v>275.29999999999995</v>
      </c>
      <c r="Z7" s="451">
        <f t="shared" si="2"/>
        <v>275.29999999999995</v>
      </c>
      <c r="AA7" s="451">
        <f t="shared" si="2"/>
        <v>275.29999999999995</v>
      </c>
      <c r="AB7" s="451">
        <f t="shared" si="2"/>
        <v>275.29999999999995</v>
      </c>
      <c r="AC7" s="451">
        <f t="shared" si="2"/>
        <v>275.29999999999995</v>
      </c>
      <c r="AD7" s="452">
        <f>AC7</f>
        <v>275.29999999999995</v>
      </c>
      <c r="AE7" s="452"/>
      <c r="AF7" s="453"/>
      <c r="AG7" s="453"/>
      <c r="AH7" s="453"/>
      <c r="AI7" s="458"/>
      <c r="AJ7" s="459"/>
      <c r="AK7" s="460"/>
      <c r="AL7" s="457"/>
    </row>
    <row r="8" spans="1:39" ht="15.75" customHeight="1" x14ac:dyDescent="0.25">
      <c r="A8" s="443" t="s">
        <v>339</v>
      </c>
      <c r="B8" s="461"/>
      <c r="C8" s="447" t="s">
        <v>340</v>
      </c>
      <c r="D8" s="448"/>
      <c r="E8" s="449"/>
      <c r="F8" s="462">
        <f>Sisendandmed!C3</f>
        <v>0.5</v>
      </c>
      <c r="G8" s="463">
        <f>F8</f>
        <v>0.5</v>
      </c>
      <c r="H8" s="463">
        <f t="shared" si="2"/>
        <v>0.5</v>
      </c>
      <c r="I8" s="463">
        <f t="shared" si="2"/>
        <v>0.5</v>
      </c>
      <c r="J8" s="463">
        <f t="shared" si="2"/>
        <v>0.5</v>
      </c>
      <c r="K8" s="463">
        <f t="shared" si="2"/>
        <v>0.5</v>
      </c>
      <c r="L8" s="463">
        <f t="shared" si="2"/>
        <v>0.5</v>
      </c>
      <c r="M8" s="463">
        <f t="shared" si="2"/>
        <v>0.5</v>
      </c>
      <c r="N8" s="463">
        <f t="shared" si="2"/>
        <v>0.5</v>
      </c>
      <c r="O8" s="463">
        <f t="shared" si="2"/>
        <v>0.5</v>
      </c>
      <c r="P8" s="463">
        <f t="shared" si="2"/>
        <v>0.5</v>
      </c>
      <c r="Q8" s="463">
        <f t="shared" si="2"/>
        <v>0.5</v>
      </c>
      <c r="R8" s="463">
        <f t="shared" si="2"/>
        <v>0.5</v>
      </c>
      <c r="S8" s="463">
        <f t="shared" si="2"/>
        <v>0.5</v>
      </c>
      <c r="T8" s="463">
        <f t="shared" si="2"/>
        <v>0.5</v>
      </c>
      <c r="U8" s="463">
        <f t="shared" si="2"/>
        <v>0.5</v>
      </c>
      <c r="V8" s="463">
        <f t="shared" si="2"/>
        <v>0.5</v>
      </c>
      <c r="W8" s="463">
        <f t="shared" si="2"/>
        <v>0.5</v>
      </c>
      <c r="X8" s="463">
        <f t="shared" si="2"/>
        <v>0.5</v>
      </c>
      <c r="Y8" s="463">
        <f t="shared" si="2"/>
        <v>0.5</v>
      </c>
      <c r="Z8" s="463">
        <f t="shared" si="2"/>
        <v>0.5</v>
      </c>
      <c r="AA8" s="463">
        <f t="shared" si="2"/>
        <v>0.5</v>
      </c>
      <c r="AB8" s="463">
        <f t="shared" si="2"/>
        <v>0.5</v>
      </c>
      <c r="AC8" s="463">
        <f t="shared" si="2"/>
        <v>0.5</v>
      </c>
      <c r="AD8" s="464">
        <f>AC8</f>
        <v>0.5</v>
      </c>
      <c r="AE8" s="452"/>
      <c r="AF8" s="453"/>
      <c r="AG8" s="453"/>
      <c r="AH8" s="453"/>
      <c r="AI8" s="458"/>
      <c r="AJ8" s="459"/>
      <c r="AK8" s="456"/>
      <c r="AL8" s="457"/>
    </row>
    <row r="9" spans="1:39" ht="16.5" customHeight="1" x14ac:dyDescent="0.25">
      <c r="A9" s="465" t="s">
        <v>341</v>
      </c>
      <c r="B9" s="466"/>
      <c r="C9" s="447" t="s">
        <v>337</v>
      </c>
      <c r="D9" s="467"/>
      <c r="E9" s="468"/>
      <c r="F9" s="450">
        <f>F6*F8</f>
        <v>2946.4500000000016</v>
      </c>
      <c r="G9" s="451">
        <f t="shared" ref="G9:AD9" si="3">G6*G8</f>
        <v>2946.4500000000016</v>
      </c>
      <c r="H9" s="451">
        <f t="shared" si="3"/>
        <v>2946.4500000000016</v>
      </c>
      <c r="I9" s="451">
        <f t="shared" si="3"/>
        <v>2946.4500000000016</v>
      </c>
      <c r="J9" s="451">
        <f t="shared" si="3"/>
        <v>2946.4500000000016</v>
      </c>
      <c r="K9" s="451">
        <f t="shared" si="3"/>
        <v>2946.4500000000016</v>
      </c>
      <c r="L9" s="451">
        <f t="shared" si="3"/>
        <v>2946.4500000000016</v>
      </c>
      <c r="M9" s="451">
        <f t="shared" si="3"/>
        <v>2946.4500000000016</v>
      </c>
      <c r="N9" s="451">
        <f t="shared" si="3"/>
        <v>2946.4500000000016</v>
      </c>
      <c r="O9" s="451">
        <f t="shared" si="3"/>
        <v>2946.4500000000016</v>
      </c>
      <c r="P9" s="451">
        <f t="shared" si="3"/>
        <v>2946.4500000000016</v>
      </c>
      <c r="Q9" s="451">
        <f t="shared" si="3"/>
        <v>2946.4500000000016</v>
      </c>
      <c r="R9" s="451">
        <f t="shared" si="3"/>
        <v>2946.4500000000016</v>
      </c>
      <c r="S9" s="451">
        <f t="shared" si="3"/>
        <v>2946.4500000000016</v>
      </c>
      <c r="T9" s="451">
        <f t="shared" si="3"/>
        <v>2946.4500000000016</v>
      </c>
      <c r="U9" s="451">
        <f t="shared" si="3"/>
        <v>2946.4500000000016</v>
      </c>
      <c r="V9" s="451">
        <f t="shared" si="3"/>
        <v>2946.4500000000016</v>
      </c>
      <c r="W9" s="451">
        <f t="shared" si="3"/>
        <v>2946.4500000000016</v>
      </c>
      <c r="X9" s="451">
        <f t="shared" si="3"/>
        <v>2946.4500000000016</v>
      </c>
      <c r="Y9" s="451">
        <f t="shared" si="3"/>
        <v>2946.4500000000016</v>
      </c>
      <c r="Z9" s="451">
        <f t="shared" si="3"/>
        <v>2946.4500000000016</v>
      </c>
      <c r="AA9" s="451">
        <f t="shared" si="3"/>
        <v>2946.4500000000016</v>
      </c>
      <c r="AB9" s="451">
        <f t="shared" si="3"/>
        <v>2946.4500000000016</v>
      </c>
      <c r="AC9" s="451">
        <f t="shared" si="3"/>
        <v>2946.4500000000016</v>
      </c>
      <c r="AD9" s="452">
        <f t="shared" si="3"/>
        <v>2946.4500000000016</v>
      </c>
      <c r="AE9" s="469"/>
      <c r="AF9" s="453"/>
      <c r="AG9" s="453"/>
      <c r="AH9" s="453"/>
      <c r="AI9" s="458"/>
      <c r="AJ9" s="459"/>
      <c r="AK9" s="456"/>
      <c r="AL9" s="457"/>
      <c r="AM9" s="470"/>
    </row>
    <row r="10" spans="1:39" ht="16.5" customHeight="1" x14ac:dyDescent="0.25">
      <c r="A10" s="465" t="s">
        <v>342</v>
      </c>
      <c r="B10" s="471"/>
      <c r="C10" s="447" t="s">
        <v>337</v>
      </c>
      <c r="D10" s="467"/>
      <c r="E10" s="468"/>
      <c r="F10" s="450">
        <f>Помещения!$C$57-F9</f>
        <v>2946.4500000000016</v>
      </c>
      <c r="G10" s="451">
        <f>Помещения!$C$57-G9</f>
        <v>2946.4500000000016</v>
      </c>
      <c r="H10" s="451">
        <f>Помещения!$C$57-H9</f>
        <v>2946.4500000000016</v>
      </c>
      <c r="I10" s="451">
        <f>Помещения!$C$57-I9</f>
        <v>2946.4500000000016</v>
      </c>
      <c r="J10" s="451">
        <f>Помещения!$C$57-J9</f>
        <v>2946.4500000000016</v>
      </c>
      <c r="K10" s="451">
        <f>Помещения!$C$57-K9</f>
        <v>2946.4500000000016</v>
      </c>
      <c r="L10" s="451">
        <f>Помещения!$C$57-L9</f>
        <v>2946.4500000000016</v>
      </c>
      <c r="M10" s="451">
        <f>Помещения!$C$57-M9</f>
        <v>2946.4500000000016</v>
      </c>
      <c r="N10" s="451">
        <f>Помещения!$C$57-N9</f>
        <v>2946.4500000000016</v>
      </c>
      <c r="O10" s="451">
        <f>Помещения!$C$57-O9</f>
        <v>2946.4500000000016</v>
      </c>
      <c r="P10" s="451">
        <f>Помещения!$C$57-P9</f>
        <v>2946.4500000000016</v>
      </c>
      <c r="Q10" s="451">
        <f>Помещения!$C$57-Q9</f>
        <v>2946.4500000000016</v>
      </c>
      <c r="R10" s="451">
        <f>Помещения!$C$57-R9</f>
        <v>2946.4500000000016</v>
      </c>
      <c r="S10" s="451">
        <f>Помещения!$C$57-S9</f>
        <v>2946.4500000000016</v>
      </c>
      <c r="T10" s="451">
        <f>Помещения!$C$57-T9</f>
        <v>2946.4500000000016</v>
      </c>
      <c r="U10" s="451">
        <f>Помещения!$C$57-U9</f>
        <v>2946.4500000000016</v>
      </c>
      <c r="V10" s="451">
        <f>Помещения!$C$57-V9</f>
        <v>2946.4500000000016</v>
      </c>
      <c r="W10" s="451">
        <f>Помещения!$C$57-W9</f>
        <v>2946.4500000000016</v>
      </c>
      <c r="X10" s="451">
        <f>Помещения!$C$57-X9</f>
        <v>2946.4500000000016</v>
      </c>
      <c r="Y10" s="451">
        <f>Помещения!$C$57-Y9</f>
        <v>2946.4500000000016</v>
      </c>
      <c r="Z10" s="451">
        <f>Помещения!$C$57-Z9</f>
        <v>2946.4500000000016</v>
      </c>
      <c r="AA10" s="451">
        <f>Помещения!$C$57-AA9</f>
        <v>2946.4500000000016</v>
      </c>
      <c r="AB10" s="451">
        <f>Помещения!$C$57-AB9</f>
        <v>2946.4500000000016</v>
      </c>
      <c r="AC10" s="451">
        <f>Помещения!$C$57-AC9</f>
        <v>2946.4500000000016</v>
      </c>
      <c r="AD10" s="452">
        <f>Помещения!$C$57-AD9</f>
        <v>2946.4500000000016</v>
      </c>
      <c r="AE10" s="469"/>
      <c r="AF10" s="453"/>
      <c r="AG10" s="453"/>
      <c r="AH10" s="453"/>
      <c r="AI10" s="458"/>
      <c r="AJ10" s="459"/>
      <c r="AK10" s="472"/>
      <c r="AL10" s="473"/>
    </row>
    <row r="11" spans="1:39" ht="16.5" customHeight="1" x14ac:dyDescent="0.25">
      <c r="A11" s="465" t="s">
        <v>343</v>
      </c>
      <c r="B11" s="471"/>
      <c r="C11" s="447" t="s">
        <v>337</v>
      </c>
      <c r="D11" s="467"/>
      <c r="E11" s="468"/>
      <c r="F11" s="450">
        <f>F7*F8</f>
        <v>137.64999999999998</v>
      </c>
      <c r="G11" s="451">
        <f t="shared" ref="G11:AD11" si="4">G7*G8</f>
        <v>137.64999999999998</v>
      </c>
      <c r="H11" s="451">
        <f t="shared" si="4"/>
        <v>137.64999999999998</v>
      </c>
      <c r="I11" s="451">
        <f t="shared" si="4"/>
        <v>137.64999999999998</v>
      </c>
      <c r="J11" s="451">
        <f t="shared" si="4"/>
        <v>137.64999999999998</v>
      </c>
      <c r="K11" s="451">
        <f t="shared" si="4"/>
        <v>137.64999999999998</v>
      </c>
      <c r="L11" s="451">
        <f t="shared" si="4"/>
        <v>137.64999999999998</v>
      </c>
      <c r="M11" s="451">
        <f t="shared" si="4"/>
        <v>137.64999999999998</v>
      </c>
      <c r="N11" s="451">
        <f t="shared" si="4"/>
        <v>137.64999999999998</v>
      </c>
      <c r="O11" s="451">
        <f t="shared" si="4"/>
        <v>137.64999999999998</v>
      </c>
      <c r="P11" s="451">
        <f t="shared" si="4"/>
        <v>137.64999999999998</v>
      </c>
      <c r="Q11" s="451">
        <f t="shared" si="4"/>
        <v>137.64999999999998</v>
      </c>
      <c r="R11" s="451">
        <f t="shared" si="4"/>
        <v>137.64999999999998</v>
      </c>
      <c r="S11" s="451">
        <f t="shared" si="4"/>
        <v>137.64999999999998</v>
      </c>
      <c r="T11" s="451">
        <f t="shared" si="4"/>
        <v>137.64999999999998</v>
      </c>
      <c r="U11" s="451">
        <f t="shared" si="4"/>
        <v>137.64999999999998</v>
      </c>
      <c r="V11" s="451">
        <f t="shared" si="4"/>
        <v>137.64999999999998</v>
      </c>
      <c r="W11" s="451">
        <f t="shared" si="4"/>
        <v>137.64999999999998</v>
      </c>
      <c r="X11" s="451">
        <f t="shared" si="4"/>
        <v>137.64999999999998</v>
      </c>
      <c r="Y11" s="451">
        <f t="shared" si="4"/>
        <v>137.64999999999998</v>
      </c>
      <c r="Z11" s="451">
        <f t="shared" si="4"/>
        <v>137.64999999999998</v>
      </c>
      <c r="AA11" s="451">
        <f t="shared" si="4"/>
        <v>137.64999999999998</v>
      </c>
      <c r="AB11" s="451">
        <f t="shared" si="4"/>
        <v>137.64999999999998</v>
      </c>
      <c r="AC11" s="451">
        <f t="shared" si="4"/>
        <v>137.64999999999998</v>
      </c>
      <c r="AD11" s="452">
        <f t="shared" si="4"/>
        <v>137.64999999999998</v>
      </c>
      <c r="AE11" s="469"/>
      <c r="AF11" s="453"/>
      <c r="AG11" s="453"/>
      <c r="AH11" s="453"/>
      <c r="AI11" s="458"/>
      <c r="AJ11" s="459"/>
      <c r="AK11" s="456"/>
      <c r="AL11" s="457"/>
    </row>
    <row r="12" spans="1:39" ht="16.5" customHeight="1" x14ac:dyDescent="0.25">
      <c r="A12" s="465" t="s">
        <v>344</v>
      </c>
      <c r="B12" s="471"/>
      <c r="C12" s="447" t="s">
        <v>337</v>
      </c>
      <c r="D12" s="467"/>
      <c r="E12" s="468"/>
      <c r="F12" s="450">
        <f>Помещения!$D$52-F11</f>
        <v>137.64999999999998</v>
      </c>
      <c r="G12" s="451">
        <f>Помещения!$D$52-G11</f>
        <v>137.64999999999998</v>
      </c>
      <c r="H12" s="451">
        <f>Помещения!$D$52-H11</f>
        <v>137.64999999999998</v>
      </c>
      <c r="I12" s="451">
        <f>Помещения!$D$52-I11</f>
        <v>137.64999999999998</v>
      </c>
      <c r="J12" s="451">
        <f>Помещения!$D$52-J11</f>
        <v>137.64999999999998</v>
      </c>
      <c r="K12" s="451">
        <f>Помещения!$D$52-K11</f>
        <v>137.64999999999998</v>
      </c>
      <c r="L12" s="451">
        <f>Помещения!$D$52-L11</f>
        <v>137.64999999999998</v>
      </c>
      <c r="M12" s="451">
        <f>Помещения!$D$52-M11</f>
        <v>137.64999999999998</v>
      </c>
      <c r="N12" s="451">
        <f>Помещения!$D$52-N11</f>
        <v>137.64999999999998</v>
      </c>
      <c r="O12" s="451">
        <f>Помещения!$D$52-O11</f>
        <v>137.64999999999998</v>
      </c>
      <c r="P12" s="451">
        <f>Помещения!$D$52-P11</f>
        <v>137.64999999999998</v>
      </c>
      <c r="Q12" s="451">
        <f>Помещения!$D$52-Q11</f>
        <v>137.64999999999998</v>
      </c>
      <c r="R12" s="451">
        <f>Помещения!$D$52-R11</f>
        <v>137.64999999999998</v>
      </c>
      <c r="S12" s="451">
        <f>Помещения!$D$52-S11</f>
        <v>137.64999999999998</v>
      </c>
      <c r="T12" s="451">
        <f>Помещения!$D$52-T11</f>
        <v>137.64999999999998</v>
      </c>
      <c r="U12" s="451">
        <f>Помещения!$D$52-U11</f>
        <v>137.64999999999998</v>
      </c>
      <c r="V12" s="451">
        <f>Помещения!$D$52-V11</f>
        <v>137.64999999999998</v>
      </c>
      <c r="W12" s="451">
        <f>Помещения!$D$52-W11</f>
        <v>137.64999999999998</v>
      </c>
      <c r="X12" s="451">
        <f>Помещения!$D$52-X11</f>
        <v>137.64999999999998</v>
      </c>
      <c r="Y12" s="451">
        <f>Помещения!$D$52-Y11</f>
        <v>137.64999999999998</v>
      </c>
      <c r="Z12" s="451">
        <f>Помещения!$D$52-Z11</f>
        <v>137.64999999999998</v>
      </c>
      <c r="AA12" s="451">
        <f>Помещения!$D$52-AA11</f>
        <v>137.64999999999998</v>
      </c>
      <c r="AB12" s="451">
        <f>Помещения!$D$52-AB11</f>
        <v>137.64999999999998</v>
      </c>
      <c r="AC12" s="451">
        <f>Помещения!$D$52-AC11</f>
        <v>137.64999999999998</v>
      </c>
      <c r="AD12" s="452">
        <f>Помещения!$D$52-AD11</f>
        <v>137.64999999999998</v>
      </c>
      <c r="AE12" s="469"/>
      <c r="AF12" s="453"/>
      <c r="AG12" s="453"/>
      <c r="AH12" s="453"/>
      <c r="AI12" s="458"/>
      <c r="AJ12" s="459"/>
      <c r="AK12" s="456"/>
      <c r="AL12" s="457"/>
    </row>
    <row r="13" spans="1:39" ht="16.5" customHeight="1" x14ac:dyDescent="0.25">
      <c r="A13" s="465" t="s">
        <v>345</v>
      </c>
      <c r="B13" s="471"/>
      <c r="C13" s="447" t="s">
        <v>337</v>
      </c>
      <c r="D13" s="467"/>
      <c r="E13" s="468"/>
      <c r="F13" s="450">
        <f>Sisendandmed!D31</f>
        <v>468.70000000000016</v>
      </c>
      <c r="G13" s="451">
        <f>F13</f>
        <v>468.70000000000016</v>
      </c>
      <c r="H13" s="451">
        <f t="shared" ref="H13:AD13" si="5">G13</f>
        <v>468.70000000000016</v>
      </c>
      <c r="I13" s="451">
        <f t="shared" si="5"/>
        <v>468.70000000000016</v>
      </c>
      <c r="J13" s="451">
        <f t="shared" si="5"/>
        <v>468.70000000000016</v>
      </c>
      <c r="K13" s="451">
        <f t="shared" si="5"/>
        <v>468.70000000000016</v>
      </c>
      <c r="L13" s="451">
        <f t="shared" si="5"/>
        <v>468.70000000000016</v>
      </c>
      <c r="M13" s="451">
        <f t="shared" si="5"/>
        <v>468.70000000000016</v>
      </c>
      <c r="N13" s="451">
        <f t="shared" si="5"/>
        <v>468.70000000000016</v>
      </c>
      <c r="O13" s="451">
        <f t="shared" si="5"/>
        <v>468.70000000000016</v>
      </c>
      <c r="P13" s="451">
        <f t="shared" si="5"/>
        <v>468.70000000000016</v>
      </c>
      <c r="Q13" s="451">
        <f t="shared" si="5"/>
        <v>468.70000000000016</v>
      </c>
      <c r="R13" s="451">
        <f t="shared" si="5"/>
        <v>468.70000000000016</v>
      </c>
      <c r="S13" s="451">
        <f t="shared" si="5"/>
        <v>468.70000000000016</v>
      </c>
      <c r="T13" s="451">
        <f t="shared" si="5"/>
        <v>468.70000000000016</v>
      </c>
      <c r="U13" s="451">
        <f t="shared" si="5"/>
        <v>468.70000000000016</v>
      </c>
      <c r="V13" s="451">
        <f t="shared" si="5"/>
        <v>468.70000000000016</v>
      </c>
      <c r="W13" s="451">
        <f t="shared" si="5"/>
        <v>468.70000000000016</v>
      </c>
      <c r="X13" s="451">
        <f t="shared" si="5"/>
        <v>468.70000000000016</v>
      </c>
      <c r="Y13" s="451">
        <f t="shared" si="5"/>
        <v>468.70000000000016</v>
      </c>
      <c r="Z13" s="451">
        <f t="shared" si="5"/>
        <v>468.70000000000016</v>
      </c>
      <c r="AA13" s="451">
        <f t="shared" si="5"/>
        <v>468.70000000000016</v>
      </c>
      <c r="AB13" s="451">
        <f t="shared" si="5"/>
        <v>468.70000000000016</v>
      </c>
      <c r="AC13" s="451">
        <f t="shared" si="5"/>
        <v>468.70000000000016</v>
      </c>
      <c r="AD13" s="452">
        <f t="shared" si="5"/>
        <v>468.70000000000016</v>
      </c>
      <c r="AE13" s="469"/>
      <c r="AF13" s="453"/>
      <c r="AG13" s="453"/>
      <c r="AH13" s="453"/>
      <c r="AI13" s="458"/>
      <c r="AJ13" s="459"/>
      <c r="AK13" s="456"/>
      <c r="AL13" s="457"/>
    </row>
    <row r="14" spans="1:39" ht="14.25" customHeight="1" x14ac:dyDescent="0.25">
      <c r="A14" s="465" t="s">
        <v>346</v>
      </c>
      <c r="B14" s="474"/>
      <c r="C14" s="447" t="s">
        <v>337</v>
      </c>
      <c r="D14" s="448"/>
      <c r="E14" s="468"/>
      <c r="F14" s="450">
        <f>Помещения!$C$52-F11</f>
        <v>606.35000000000014</v>
      </c>
      <c r="G14" s="451">
        <f>Помещения!$C$52-G11</f>
        <v>606.35000000000014</v>
      </c>
      <c r="H14" s="451">
        <f>Помещения!$C$52-H11</f>
        <v>606.35000000000014</v>
      </c>
      <c r="I14" s="451">
        <f>Помещения!$C$52-I11</f>
        <v>606.35000000000014</v>
      </c>
      <c r="J14" s="451">
        <f>Помещения!$C$52-J11</f>
        <v>606.35000000000014</v>
      </c>
      <c r="K14" s="451">
        <f>Помещения!$C$52-K11</f>
        <v>606.35000000000014</v>
      </c>
      <c r="L14" s="451">
        <f>Помещения!$C$52-L11</f>
        <v>606.35000000000014</v>
      </c>
      <c r="M14" s="451">
        <f>Помещения!$C$52-M11</f>
        <v>606.35000000000014</v>
      </c>
      <c r="N14" s="451">
        <f>Помещения!$C$52-N11</f>
        <v>606.35000000000014</v>
      </c>
      <c r="O14" s="451">
        <f>Помещения!$C$52-O11</f>
        <v>606.35000000000014</v>
      </c>
      <c r="P14" s="451">
        <f>Помещения!$C$52-P11</f>
        <v>606.35000000000014</v>
      </c>
      <c r="Q14" s="451">
        <f>Помещения!$C$52-Q11</f>
        <v>606.35000000000014</v>
      </c>
      <c r="R14" s="451">
        <f>Помещения!$C$52-R11</f>
        <v>606.35000000000014</v>
      </c>
      <c r="S14" s="451">
        <f>Помещения!$C$52-S11</f>
        <v>606.35000000000014</v>
      </c>
      <c r="T14" s="451">
        <f>Помещения!$C$52-T11</f>
        <v>606.35000000000014</v>
      </c>
      <c r="U14" s="451">
        <f>Помещения!$C$52-U11</f>
        <v>606.35000000000014</v>
      </c>
      <c r="V14" s="451">
        <f>Помещения!$C$52-V11</f>
        <v>606.35000000000014</v>
      </c>
      <c r="W14" s="451">
        <f>Помещения!$C$52-W11</f>
        <v>606.35000000000014</v>
      </c>
      <c r="X14" s="451">
        <f>Помещения!$C$52-X11</f>
        <v>606.35000000000014</v>
      </c>
      <c r="Y14" s="451">
        <f>Помещения!$C$52-Y11</f>
        <v>606.35000000000014</v>
      </c>
      <c r="Z14" s="451">
        <f>Помещения!$C$52-Z11</f>
        <v>606.35000000000014</v>
      </c>
      <c r="AA14" s="451">
        <f>Помещения!$C$52-AA11</f>
        <v>606.35000000000014</v>
      </c>
      <c r="AB14" s="451">
        <f>Помещения!$C$52-AB11</f>
        <v>606.35000000000014</v>
      </c>
      <c r="AC14" s="451">
        <f>Помещения!$C$52-AC11</f>
        <v>606.35000000000014</v>
      </c>
      <c r="AD14" s="452">
        <f>Помещения!$C$52-AD11</f>
        <v>606.35000000000014</v>
      </c>
      <c r="AE14" s="469"/>
      <c r="AF14" s="453"/>
      <c r="AG14" s="453"/>
      <c r="AH14" s="453"/>
      <c r="AI14" s="475"/>
      <c r="AJ14" s="459"/>
      <c r="AK14" s="456"/>
      <c r="AL14" s="457"/>
    </row>
    <row r="15" spans="1:39" ht="16.5" customHeight="1" x14ac:dyDescent="0.25">
      <c r="A15" s="465" t="s">
        <v>347</v>
      </c>
      <c r="B15" s="474"/>
      <c r="C15" s="447" t="s">
        <v>337</v>
      </c>
      <c r="D15" s="448"/>
      <c r="E15" s="468"/>
      <c r="F15" s="450">
        <f>F10+F14</f>
        <v>3552.800000000002</v>
      </c>
      <c r="G15" s="451">
        <f t="shared" ref="G15:AD15" si="6">G10+G14</f>
        <v>3552.800000000002</v>
      </c>
      <c r="H15" s="451">
        <f t="shared" si="6"/>
        <v>3552.800000000002</v>
      </c>
      <c r="I15" s="451">
        <f t="shared" si="6"/>
        <v>3552.800000000002</v>
      </c>
      <c r="J15" s="451">
        <f t="shared" si="6"/>
        <v>3552.800000000002</v>
      </c>
      <c r="K15" s="451">
        <f t="shared" si="6"/>
        <v>3552.800000000002</v>
      </c>
      <c r="L15" s="451">
        <f t="shared" si="6"/>
        <v>3552.800000000002</v>
      </c>
      <c r="M15" s="451">
        <f t="shared" si="6"/>
        <v>3552.800000000002</v>
      </c>
      <c r="N15" s="451">
        <f t="shared" si="6"/>
        <v>3552.800000000002</v>
      </c>
      <c r="O15" s="451">
        <f t="shared" si="6"/>
        <v>3552.800000000002</v>
      </c>
      <c r="P15" s="451">
        <f t="shared" si="6"/>
        <v>3552.800000000002</v>
      </c>
      <c r="Q15" s="451">
        <f t="shared" si="6"/>
        <v>3552.800000000002</v>
      </c>
      <c r="R15" s="451">
        <f t="shared" si="6"/>
        <v>3552.800000000002</v>
      </c>
      <c r="S15" s="451">
        <f t="shared" si="6"/>
        <v>3552.800000000002</v>
      </c>
      <c r="T15" s="451">
        <f t="shared" si="6"/>
        <v>3552.800000000002</v>
      </c>
      <c r="U15" s="451">
        <f t="shared" si="6"/>
        <v>3552.800000000002</v>
      </c>
      <c r="V15" s="451">
        <f t="shared" si="6"/>
        <v>3552.800000000002</v>
      </c>
      <c r="W15" s="451">
        <f t="shared" si="6"/>
        <v>3552.800000000002</v>
      </c>
      <c r="X15" s="451">
        <f t="shared" si="6"/>
        <v>3552.800000000002</v>
      </c>
      <c r="Y15" s="451">
        <f t="shared" si="6"/>
        <v>3552.800000000002</v>
      </c>
      <c r="Z15" s="451">
        <f t="shared" si="6"/>
        <v>3552.800000000002</v>
      </c>
      <c r="AA15" s="451">
        <f t="shared" si="6"/>
        <v>3552.800000000002</v>
      </c>
      <c r="AB15" s="451">
        <f t="shared" si="6"/>
        <v>3552.800000000002</v>
      </c>
      <c r="AC15" s="451">
        <f t="shared" si="6"/>
        <v>3552.800000000002</v>
      </c>
      <c r="AD15" s="452">
        <f t="shared" si="6"/>
        <v>3552.800000000002</v>
      </c>
      <c r="AE15" s="469"/>
      <c r="AF15" s="453"/>
      <c r="AG15" s="453"/>
      <c r="AH15" s="453"/>
      <c r="AI15" s="475"/>
      <c r="AJ15" s="459"/>
      <c r="AK15" s="456"/>
      <c r="AL15" s="457"/>
    </row>
    <row r="16" spans="1:39" ht="16.5" hidden="1" customHeight="1" x14ac:dyDescent="0.25">
      <c r="A16" s="465"/>
      <c r="B16" s="476"/>
      <c r="C16" s="447"/>
      <c r="D16" s="477"/>
      <c r="E16" s="478"/>
      <c r="F16" s="479"/>
      <c r="G16" s="480"/>
      <c r="H16" s="480"/>
      <c r="I16" s="480"/>
      <c r="J16" s="481"/>
      <c r="K16" s="481"/>
      <c r="L16" s="481"/>
      <c r="M16" s="481"/>
      <c r="N16" s="481"/>
      <c r="O16" s="481"/>
      <c r="P16" s="481"/>
      <c r="Q16" s="481"/>
      <c r="R16" s="481"/>
      <c r="S16" s="481"/>
      <c r="T16" s="481"/>
      <c r="U16" s="481"/>
      <c r="V16" s="481"/>
      <c r="W16" s="481"/>
      <c r="X16" s="481"/>
      <c r="Y16" s="481"/>
      <c r="Z16" s="481"/>
      <c r="AA16" s="481"/>
      <c r="AB16" s="481"/>
      <c r="AC16" s="481"/>
      <c r="AD16" s="482"/>
      <c r="AE16" s="469"/>
      <c r="AF16" s="453"/>
      <c r="AG16" s="453"/>
      <c r="AH16" s="453"/>
      <c r="AI16" s="483"/>
      <c r="AJ16" s="459"/>
      <c r="AK16" s="484"/>
      <c r="AL16" s="457"/>
    </row>
    <row r="17" spans="1:38" ht="16.5" customHeight="1" x14ac:dyDescent="0.25">
      <c r="A17" s="465" t="s">
        <v>348</v>
      </c>
      <c r="B17" s="476"/>
      <c r="C17" s="447"/>
      <c r="D17" s="477"/>
      <c r="E17" s="478"/>
      <c r="F17" s="479"/>
      <c r="G17" s="480"/>
      <c r="H17" s="480"/>
      <c r="I17" s="480"/>
      <c r="J17" s="481"/>
      <c r="K17" s="481"/>
      <c r="L17" s="481"/>
      <c r="M17" s="481"/>
      <c r="N17" s="481"/>
      <c r="O17" s="481"/>
      <c r="P17" s="481"/>
      <c r="Q17" s="481"/>
      <c r="R17" s="481"/>
      <c r="S17" s="481"/>
      <c r="T17" s="481"/>
      <c r="U17" s="481"/>
      <c r="V17" s="481"/>
      <c r="W17" s="481"/>
      <c r="X17" s="481"/>
      <c r="Y17" s="481"/>
      <c r="Z17" s="481"/>
      <c r="AA17" s="481"/>
      <c r="AB17" s="481"/>
      <c r="AC17" s="481"/>
      <c r="AD17" s="482"/>
      <c r="AE17" s="469"/>
      <c r="AF17" s="453"/>
      <c r="AG17" s="453"/>
      <c r="AH17" s="453"/>
      <c r="AI17" s="483"/>
      <c r="AJ17" s="459"/>
      <c r="AK17" s="484"/>
      <c r="AL17" s="457"/>
    </row>
    <row r="18" spans="1:38" ht="16.5" customHeight="1" x14ac:dyDescent="0.25">
      <c r="A18" s="485" t="s">
        <v>349</v>
      </c>
      <c r="B18" s="486"/>
      <c r="C18" s="447" t="s">
        <v>350</v>
      </c>
      <c r="D18" s="448"/>
      <c r="E18" s="449"/>
      <c r="F18" s="487">
        <f>Sisendandmed!$C$41</f>
        <v>5</v>
      </c>
      <c r="G18" s="488">
        <f>Sisendandmed!$C$41</f>
        <v>5</v>
      </c>
      <c r="H18" s="488">
        <f>Sisendandmed!$C$41</f>
        <v>5</v>
      </c>
      <c r="I18" s="488">
        <f>Sisendandmed!$C$41</f>
        <v>5</v>
      </c>
      <c r="J18" s="488">
        <f>Sisendandmed!$C$41</f>
        <v>5</v>
      </c>
      <c r="K18" s="488">
        <f>Sisendandmed!$C$41</f>
        <v>5</v>
      </c>
      <c r="L18" s="488">
        <f>Sisendandmed!$C$41</f>
        <v>5</v>
      </c>
      <c r="M18" s="488">
        <f>Sisendandmed!$C$41</f>
        <v>5</v>
      </c>
      <c r="N18" s="488">
        <f>Sisendandmed!$C$41</f>
        <v>5</v>
      </c>
      <c r="O18" s="488">
        <f>Sisendandmed!$C$41</f>
        <v>5</v>
      </c>
      <c r="P18" s="488">
        <f>Sisendandmed!$C$41</f>
        <v>5</v>
      </c>
      <c r="Q18" s="488">
        <f>Sisendandmed!$C$41</f>
        <v>5</v>
      </c>
      <c r="R18" s="488">
        <f>Sisendandmed!$C$41</f>
        <v>5</v>
      </c>
      <c r="S18" s="488">
        <f>Sisendandmed!$C$41</f>
        <v>5</v>
      </c>
      <c r="T18" s="488">
        <f>Sisendandmed!$C$41</f>
        <v>5</v>
      </c>
      <c r="U18" s="488">
        <f>Sisendandmed!$C$41</f>
        <v>5</v>
      </c>
      <c r="V18" s="488">
        <f>Sisendandmed!$C$41</f>
        <v>5</v>
      </c>
      <c r="W18" s="488">
        <f>Sisendandmed!$C$41</f>
        <v>5</v>
      </c>
      <c r="X18" s="488">
        <f>Sisendandmed!$C$41</f>
        <v>5</v>
      </c>
      <c r="Y18" s="488">
        <f>Sisendandmed!$C$41</f>
        <v>5</v>
      </c>
      <c r="Z18" s="488">
        <f>Sisendandmed!$C$41</f>
        <v>5</v>
      </c>
      <c r="AA18" s="488">
        <f>Sisendandmed!$C$41</f>
        <v>5</v>
      </c>
      <c r="AB18" s="488">
        <f>Sisendandmed!$C$41</f>
        <v>5</v>
      </c>
      <c r="AC18" s="488">
        <f>Sisendandmed!$C$41</f>
        <v>5</v>
      </c>
      <c r="AD18" s="489">
        <f>Sisendandmed!$C$41</f>
        <v>5</v>
      </c>
      <c r="AE18" s="469"/>
      <c r="AF18" s="453"/>
      <c r="AG18" s="453"/>
      <c r="AH18" s="453"/>
      <c r="AI18" s="458"/>
      <c r="AJ18" s="459"/>
      <c r="AK18" s="460"/>
      <c r="AL18" s="457"/>
    </row>
    <row r="19" spans="1:38" ht="16.5" customHeight="1" x14ac:dyDescent="0.25">
      <c r="A19" s="485" t="s">
        <v>351</v>
      </c>
      <c r="B19" s="486"/>
      <c r="C19" s="447" t="s">
        <v>350</v>
      </c>
      <c r="D19" s="448"/>
      <c r="E19" s="449"/>
      <c r="F19" s="487">
        <f>Sisendandmed!$C$42</f>
        <v>3</v>
      </c>
      <c r="G19" s="488">
        <f>F19</f>
        <v>3</v>
      </c>
      <c r="H19" s="488">
        <f t="shared" ref="H19:AD20" si="7">G19</f>
        <v>3</v>
      </c>
      <c r="I19" s="488">
        <f t="shared" si="7"/>
        <v>3</v>
      </c>
      <c r="J19" s="488">
        <f t="shared" si="7"/>
        <v>3</v>
      </c>
      <c r="K19" s="488">
        <f t="shared" si="7"/>
        <v>3</v>
      </c>
      <c r="L19" s="488">
        <f t="shared" si="7"/>
        <v>3</v>
      </c>
      <c r="M19" s="488">
        <f t="shared" si="7"/>
        <v>3</v>
      </c>
      <c r="N19" s="488">
        <f t="shared" si="7"/>
        <v>3</v>
      </c>
      <c r="O19" s="488">
        <f t="shared" si="7"/>
        <v>3</v>
      </c>
      <c r="P19" s="488">
        <f t="shared" si="7"/>
        <v>3</v>
      </c>
      <c r="Q19" s="488">
        <f t="shared" si="7"/>
        <v>3</v>
      </c>
      <c r="R19" s="488">
        <f t="shared" si="7"/>
        <v>3</v>
      </c>
      <c r="S19" s="488">
        <f t="shared" si="7"/>
        <v>3</v>
      </c>
      <c r="T19" s="488">
        <f t="shared" si="7"/>
        <v>3</v>
      </c>
      <c r="U19" s="488">
        <f t="shared" si="7"/>
        <v>3</v>
      </c>
      <c r="V19" s="488">
        <f t="shared" si="7"/>
        <v>3</v>
      </c>
      <c r="W19" s="488">
        <f t="shared" si="7"/>
        <v>3</v>
      </c>
      <c r="X19" s="488">
        <f t="shared" si="7"/>
        <v>3</v>
      </c>
      <c r="Y19" s="488">
        <f t="shared" si="7"/>
        <v>3</v>
      </c>
      <c r="Z19" s="488">
        <f t="shared" si="7"/>
        <v>3</v>
      </c>
      <c r="AA19" s="488">
        <f t="shared" si="7"/>
        <v>3</v>
      </c>
      <c r="AB19" s="488">
        <f t="shared" si="7"/>
        <v>3</v>
      </c>
      <c r="AC19" s="488">
        <f t="shared" si="7"/>
        <v>3</v>
      </c>
      <c r="AD19" s="489">
        <f t="shared" si="7"/>
        <v>3</v>
      </c>
      <c r="AE19" s="469"/>
      <c r="AF19" s="453"/>
      <c r="AG19" s="453"/>
      <c r="AH19" s="453"/>
      <c r="AI19" s="458"/>
      <c r="AJ19" s="459"/>
      <c r="AK19" s="460"/>
      <c r="AL19" s="457"/>
    </row>
    <row r="20" spans="1:38" ht="26.25" customHeight="1" x14ac:dyDescent="0.25">
      <c r="A20" s="490" t="s">
        <v>612</v>
      </c>
      <c r="B20" s="491"/>
      <c r="C20" s="447" t="s">
        <v>337</v>
      </c>
      <c r="D20" s="448"/>
      <c r="E20" s="492"/>
      <c r="F20" s="493">
        <f>Помещения!D57/(Sisendandmed!C41/Sisendandmed!C3)</f>
        <v>589.2900000000003</v>
      </c>
      <c r="G20" s="494">
        <f>F20</f>
        <v>589.2900000000003</v>
      </c>
      <c r="H20" s="494">
        <f t="shared" si="7"/>
        <v>589.2900000000003</v>
      </c>
      <c r="I20" s="494">
        <f t="shared" si="7"/>
        <v>589.2900000000003</v>
      </c>
      <c r="J20" s="494">
        <f t="shared" si="7"/>
        <v>589.2900000000003</v>
      </c>
      <c r="K20" s="494">
        <f t="shared" si="7"/>
        <v>589.2900000000003</v>
      </c>
      <c r="L20" s="494">
        <f t="shared" si="7"/>
        <v>589.2900000000003</v>
      </c>
      <c r="M20" s="494">
        <f t="shared" si="7"/>
        <v>589.2900000000003</v>
      </c>
      <c r="N20" s="494">
        <f t="shared" si="7"/>
        <v>589.2900000000003</v>
      </c>
      <c r="O20" s="494">
        <f t="shared" si="7"/>
        <v>589.2900000000003</v>
      </c>
      <c r="P20" s="494">
        <f t="shared" si="7"/>
        <v>589.2900000000003</v>
      </c>
      <c r="Q20" s="494">
        <f t="shared" si="7"/>
        <v>589.2900000000003</v>
      </c>
      <c r="R20" s="494">
        <f t="shared" si="7"/>
        <v>589.2900000000003</v>
      </c>
      <c r="S20" s="494">
        <f t="shared" si="7"/>
        <v>589.2900000000003</v>
      </c>
      <c r="T20" s="494">
        <f t="shared" si="7"/>
        <v>589.2900000000003</v>
      </c>
      <c r="U20" s="494">
        <f t="shared" si="7"/>
        <v>589.2900000000003</v>
      </c>
      <c r="V20" s="494">
        <f t="shared" si="7"/>
        <v>589.2900000000003</v>
      </c>
      <c r="W20" s="494">
        <f t="shared" si="7"/>
        <v>589.2900000000003</v>
      </c>
      <c r="X20" s="494">
        <f t="shared" si="7"/>
        <v>589.2900000000003</v>
      </c>
      <c r="Y20" s="494">
        <f t="shared" si="7"/>
        <v>589.2900000000003</v>
      </c>
      <c r="Z20" s="494">
        <f t="shared" si="7"/>
        <v>589.2900000000003</v>
      </c>
      <c r="AA20" s="494">
        <f t="shared" si="7"/>
        <v>589.2900000000003</v>
      </c>
      <c r="AB20" s="494">
        <f t="shared" si="7"/>
        <v>589.2900000000003</v>
      </c>
      <c r="AC20" s="494">
        <f t="shared" si="7"/>
        <v>589.2900000000003</v>
      </c>
      <c r="AD20" s="495">
        <f>AC20</f>
        <v>589.2900000000003</v>
      </c>
      <c r="AE20" s="469"/>
      <c r="AF20" s="453"/>
      <c r="AG20" s="453"/>
      <c r="AH20" s="453"/>
      <c r="AI20" s="458"/>
      <c r="AJ20" s="459"/>
      <c r="AK20" s="496"/>
      <c r="AL20" s="473"/>
    </row>
    <row r="21" spans="1:38" ht="28.5" customHeight="1" x14ac:dyDescent="0.25">
      <c r="A21" s="465" t="s">
        <v>352</v>
      </c>
      <c r="B21" s="486"/>
      <c r="C21" s="447" t="s">
        <v>323</v>
      </c>
      <c r="D21" s="448"/>
      <c r="E21" s="449"/>
      <c r="F21" s="450">
        <f>Sisendandmed!$G$41</f>
        <v>21.8</v>
      </c>
      <c r="G21" s="451">
        <f>Sisendandmed!$G$41</f>
        <v>21.8</v>
      </c>
      <c r="H21" s="451">
        <f>Sisendandmed!$G$41</f>
        <v>21.8</v>
      </c>
      <c r="I21" s="451">
        <f>Sisendandmed!$G$41</f>
        <v>21.8</v>
      </c>
      <c r="J21" s="451">
        <f>Sisendandmed!$G$41</f>
        <v>21.8</v>
      </c>
      <c r="K21" s="451">
        <f>Sisendandmed!$G$41</f>
        <v>21.8</v>
      </c>
      <c r="L21" s="451">
        <f>Sisendandmed!$G$41</f>
        <v>21.8</v>
      </c>
      <c r="M21" s="451">
        <f>Sisendandmed!$G$41</f>
        <v>21.8</v>
      </c>
      <c r="N21" s="451">
        <f>Sisendandmed!$G$41</f>
        <v>21.8</v>
      </c>
      <c r="O21" s="451">
        <f>Sisendandmed!$G$41</f>
        <v>21.8</v>
      </c>
      <c r="P21" s="451">
        <f>Sisendandmed!$G$41</f>
        <v>21.8</v>
      </c>
      <c r="Q21" s="451">
        <f>Sisendandmed!$G$41</f>
        <v>21.8</v>
      </c>
      <c r="R21" s="451">
        <f>Sisendandmed!$G$41</f>
        <v>21.8</v>
      </c>
      <c r="S21" s="451">
        <f>Sisendandmed!$G$41</f>
        <v>21.8</v>
      </c>
      <c r="T21" s="451">
        <f>Sisendandmed!$G$41</f>
        <v>21.8</v>
      </c>
      <c r="U21" s="451">
        <f>Sisendandmed!$G$41</f>
        <v>21.8</v>
      </c>
      <c r="V21" s="451">
        <f>Sisendandmed!$G$41</f>
        <v>21.8</v>
      </c>
      <c r="W21" s="451">
        <f>Sisendandmed!$G$41</f>
        <v>21.8</v>
      </c>
      <c r="X21" s="451">
        <f>Sisendandmed!$G$41</f>
        <v>21.8</v>
      </c>
      <c r="Y21" s="451">
        <f>Sisendandmed!$G$41</f>
        <v>21.8</v>
      </c>
      <c r="Z21" s="451">
        <f>Sisendandmed!$G$41</f>
        <v>21.8</v>
      </c>
      <c r="AA21" s="451">
        <f>Sisendandmed!$G$41</f>
        <v>21.8</v>
      </c>
      <c r="AB21" s="451">
        <f>Sisendandmed!$G$41</f>
        <v>21.8</v>
      </c>
      <c r="AC21" s="451">
        <f>Sisendandmed!$G$41</f>
        <v>21.8</v>
      </c>
      <c r="AD21" s="452">
        <f>Sisendandmed!$G$41</f>
        <v>21.8</v>
      </c>
      <c r="AE21" s="469"/>
      <c r="AF21" s="453"/>
      <c r="AG21" s="453"/>
      <c r="AH21" s="453"/>
      <c r="AI21" s="458"/>
      <c r="AJ21" s="459"/>
      <c r="AK21" s="460"/>
      <c r="AL21" s="473"/>
    </row>
    <row r="22" spans="1:38" ht="23.25" customHeight="1" x14ac:dyDescent="0.25">
      <c r="A22" s="465" t="s">
        <v>353</v>
      </c>
      <c r="B22" s="486"/>
      <c r="C22" s="447" t="s">
        <v>323</v>
      </c>
      <c r="D22" s="448"/>
      <c r="E22" s="449"/>
      <c r="F22" s="450">
        <f t="shared" ref="F22:AD22" si="8">F18*F21</f>
        <v>109</v>
      </c>
      <c r="G22" s="451">
        <f t="shared" si="8"/>
        <v>109</v>
      </c>
      <c r="H22" s="451">
        <f t="shared" si="8"/>
        <v>109</v>
      </c>
      <c r="I22" s="451">
        <f t="shared" si="8"/>
        <v>109</v>
      </c>
      <c r="J22" s="451">
        <f t="shared" si="8"/>
        <v>109</v>
      </c>
      <c r="K22" s="451">
        <f t="shared" si="8"/>
        <v>109</v>
      </c>
      <c r="L22" s="451">
        <f t="shared" si="8"/>
        <v>109</v>
      </c>
      <c r="M22" s="451">
        <f t="shared" si="8"/>
        <v>109</v>
      </c>
      <c r="N22" s="451">
        <f t="shared" si="8"/>
        <v>109</v>
      </c>
      <c r="O22" s="451">
        <f t="shared" si="8"/>
        <v>109</v>
      </c>
      <c r="P22" s="451">
        <f t="shared" si="8"/>
        <v>109</v>
      </c>
      <c r="Q22" s="451">
        <f t="shared" si="8"/>
        <v>109</v>
      </c>
      <c r="R22" s="451">
        <f t="shared" si="8"/>
        <v>109</v>
      </c>
      <c r="S22" s="451">
        <f t="shared" si="8"/>
        <v>109</v>
      </c>
      <c r="T22" s="451">
        <f t="shared" si="8"/>
        <v>109</v>
      </c>
      <c r="U22" s="451">
        <f t="shared" si="8"/>
        <v>109</v>
      </c>
      <c r="V22" s="451">
        <f t="shared" si="8"/>
        <v>109</v>
      </c>
      <c r="W22" s="451">
        <f t="shared" si="8"/>
        <v>109</v>
      </c>
      <c r="X22" s="451">
        <f t="shared" si="8"/>
        <v>109</v>
      </c>
      <c r="Y22" s="451">
        <f t="shared" si="8"/>
        <v>109</v>
      </c>
      <c r="Z22" s="451">
        <f t="shared" si="8"/>
        <v>109</v>
      </c>
      <c r="AA22" s="451">
        <f t="shared" si="8"/>
        <v>109</v>
      </c>
      <c r="AB22" s="451">
        <f t="shared" si="8"/>
        <v>109</v>
      </c>
      <c r="AC22" s="451">
        <f t="shared" si="8"/>
        <v>109</v>
      </c>
      <c r="AD22" s="452">
        <f t="shared" si="8"/>
        <v>109</v>
      </c>
      <c r="AE22" s="469"/>
      <c r="AF22" s="453"/>
      <c r="AG22" s="453"/>
      <c r="AH22" s="453"/>
      <c r="AI22" s="458"/>
      <c r="AJ22" s="459"/>
      <c r="AK22" s="460"/>
      <c r="AL22" s="457"/>
    </row>
    <row r="23" spans="1:38" ht="16.5" hidden="1" customHeight="1" x14ac:dyDescent="0.25">
      <c r="A23" s="465"/>
      <c r="B23" s="486"/>
      <c r="C23" s="447"/>
      <c r="D23" s="448"/>
      <c r="E23" s="449"/>
      <c r="F23" s="450"/>
      <c r="G23" s="451"/>
      <c r="H23" s="451"/>
      <c r="I23" s="451"/>
      <c r="J23" s="451"/>
      <c r="K23" s="451"/>
      <c r="L23" s="451"/>
      <c r="M23" s="451"/>
      <c r="N23" s="451"/>
      <c r="O23" s="451"/>
      <c r="P23" s="451"/>
      <c r="Q23" s="451"/>
      <c r="R23" s="451"/>
      <c r="S23" s="451"/>
      <c r="T23" s="451"/>
      <c r="U23" s="451"/>
      <c r="V23" s="451"/>
      <c r="W23" s="451"/>
      <c r="X23" s="451"/>
      <c r="Y23" s="451"/>
      <c r="Z23" s="451"/>
      <c r="AA23" s="451"/>
      <c r="AB23" s="451"/>
      <c r="AC23" s="451"/>
      <c r="AD23" s="452"/>
      <c r="AE23" s="469"/>
      <c r="AF23" s="453"/>
      <c r="AG23" s="453"/>
      <c r="AH23" s="453"/>
      <c r="AI23" s="458"/>
      <c r="AJ23" s="459"/>
      <c r="AK23" s="497"/>
      <c r="AL23" s="473"/>
    </row>
    <row r="24" spans="1:38" ht="16.5" customHeight="1" x14ac:dyDescent="0.25">
      <c r="A24" s="465" t="s">
        <v>354</v>
      </c>
      <c r="B24" s="486"/>
      <c r="C24" s="447"/>
      <c r="D24" s="448"/>
      <c r="E24" s="449"/>
      <c r="F24" s="450"/>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2"/>
      <c r="AE24" s="469"/>
      <c r="AF24" s="453"/>
      <c r="AG24" s="453"/>
      <c r="AH24" s="453"/>
      <c r="AI24" s="458"/>
      <c r="AJ24" s="459"/>
      <c r="AK24" s="497"/>
      <c r="AL24" s="473"/>
    </row>
    <row r="25" spans="1:38" ht="14.25" customHeight="1" x14ac:dyDescent="0.25">
      <c r="A25" s="498" t="s">
        <v>31</v>
      </c>
      <c r="B25" s="486"/>
      <c r="C25" s="447" t="s">
        <v>355</v>
      </c>
      <c r="D25" s="448"/>
      <c r="E25" s="449"/>
      <c r="F25" s="499">
        <f>F26+F29</f>
        <v>584.86789360000034</v>
      </c>
      <c r="G25" s="500">
        <f t="shared" ref="G25:AD25" si="9">G26+G29</f>
        <v>584.86789360000034</v>
      </c>
      <c r="H25" s="500">
        <f t="shared" si="9"/>
        <v>584.86789360000034</v>
      </c>
      <c r="I25" s="500">
        <f t="shared" si="9"/>
        <v>584.86789360000034</v>
      </c>
      <c r="J25" s="500">
        <f t="shared" si="9"/>
        <v>584.86789360000034</v>
      </c>
      <c r="K25" s="500">
        <f t="shared" si="9"/>
        <v>584.86789360000034</v>
      </c>
      <c r="L25" s="500">
        <f t="shared" si="9"/>
        <v>584.86789360000034</v>
      </c>
      <c r="M25" s="500">
        <f t="shared" si="9"/>
        <v>584.86789360000034</v>
      </c>
      <c r="N25" s="500">
        <f t="shared" si="9"/>
        <v>584.86789360000034</v>
      </c>
      <c r="O25" s="500">
        <f t="shared" si="9"/>
        <v>584.86789360000034</v>
      </c>
      <c r="P25" s="500">
        <f t="shared" si="9"/>
        <v>584.86789360000034</v>
      </c>
      <c r="Q25" s="500">
        <f t="shared" si="9"/>
        <v>584.86789360000034</v>
      </c>
      <c r="R25" s="500">
        <f t="shared" si="9"/>
        <v>584.86789360000034</v>
      </c>
      <c r="S25" s="500">
        <f t="shared" si="9"/>
        <v>584.86789360000034</v>
      </c>
      <c r="T25" s="500">
        <f t="shared" si="9"/>
        <v>584.86789360000034</v>
      </c>
      <c r="U25" s="500">
        <f t="shared" si="9"/>
        <v>584.86789360000034</v>
      </c>
      <c r="V25" s="500">
        <f t="shared" si="9"/>
        <v>584.86789360000034</v>
      </c>
      <c r="W25" s="500">
        <f t="shared" si="9"/>
        <v>584.86789360000034</v>
      </c>
      <c r="X25" s="500">
        <f t="shared" si="9"/>
        <v>584.86789360000034</v>
      </c>
      <c r="Y25" s="500">
        <f t="shared" si="9"/>
        <v>584.86789360000034</v>
      </c>
      <c r="Z25" s="500">
        <f t="shared" si="9"/>
        <v>584.86789360000034</v>
      </c>
      <c r="AA25" s="500">
        <f t="shared" si="9"/>
        <v>584.86789360000034</v>
      </c>
      <c r="AB25" s="500">
        <f t="shared" si="9"/>
        <v>584.86789360000034</v>
      </c>
      <c r="AC25" s="500">
        <f t="shared" si="9"/>
        <v>584.86789360000034</v>
      </c>
      <c r="AD25" s="452">
        <f t="shared" si="9"/>
        <v>584.86789360000034</v>
      </c>
      <c r="AE25" s="469"/>
      <c r="AF25" s="453"/>
      <c r="AG25" s="453"/>
      <c r="AH25" s="453"/>
      <c r="AI25" s="458"/>
      <c r="AJ25" s="459"/>
      <c r="AK25" s="497"/>
      <c r="AL25" s="473"/>
    </row>
    <row r="26" spans="1:38" ht="16.5" customHeight="1" x14ac:dyDescent="0.25">
      <c r="A26" s="501" t="s">
        <v>356</v>
      </c>
      <c r="B26" s="486"/>
      <c r="C26" s="447" t="s">
        <v>355</v>
      </c>
      <c r="D26" s="448"/>
      <c r="E26" s="449"/>
      <c r="F26" s="499">
        <f>SUM(F27:F28)</f>
        <v>550.27900200000033</v>
      </c>
      <c r="G26" s="500">
        <f t="shared" ref="G26:AD26" si="10">SUM(G27:G28)</f>
        <v>550.27900200000033</v>
      </c>
      <c r="H26" s="500">
        <f t="shared" si="10"/>
        <v>550.27900200000033</v>
      </c>
      <c r="I26" s="500">
        <f t="shared" si="10"/>
        <v>550.27900200000033</v>
      </c>
      <c r="J26" s="500">
        <f t="shared" si="10"/>
        <v>550.27900200000033</v>
      </c>
      <c r="K26" s="500">
        <f t="shared" si="10"/>
        <v>550.27900200000033</v>
      </c>
      <c r="L26" s="500">
        <f t="shared" si="10"/>
        <v>550.27900200000033</v>
      </c>
      <c r="M26" s="500">
        <f t="shared" si="10"/>
        <v>550.27900200000033</v>
      </c>
      <c r="N26" s="500">
        <f t="shared" si="10"/>
        <v>550.27900200000033</v>
      </c>
      <c r="O26" s="500">
        <f t="shared" si="10"/>
        <v>550.27900200000033</v>
      </c>
      <c r="P26" s="500">
        <f t="shared" si="10"/>
        <v>550.27900200000033</v>
      </c>
      <c r="Q26" s="500">
        <f t="shared" si="10"/>
        <v>550.27900200000033</v>
      </c>
      <c r="R26" s="500">
        <f t="shared" si="10"/>
        <v>550.27900200000033</v>
      </c>
      <c r="S26" s="500">
        <f t="shared" si="10"/>
        <v>550.27900200000033</v>
      </c>
      <c r="T26" s="500">
        <f t="shared" si="10"/>
        <v>550.27900200000033</v>
      </c>
      <c r="U26" s="500">
        <f t="shared" si="10"/>
        <v>550.27900200000033</v>
      </c>
      <c r="V26" s="500">
        <f t="shared" si="10"/>
        <v>550.27900200000033</v>
      </c>
      <c r="W26" s="500">
        <f t="shared" si="10"/>
        <v>550.27900200000033</v>
      </c>
      <c r="X26" s="500">
        <f t="shared" si="10"/>
        <v>550.27900200000033</v>
      </c>
      <c r="Y26" s="500">
        <f t="shared" si="10"/>
        <v>550.27900200000033</v>
      </c>
      <c r="Z26" s="500">
        <f t="shared" si="10"/>
        <v>550.27900200000033</v>
      </c>
      <c r="AA26" s="500">
        <f t="shared" si="10"/>
        <v>550.27900200000033</v>
      </c>
      <c r="AB26" s="500">
        <f t="shared" si="10"/>
        <v>550.27900200000033</v>
      </c>
      <c r="AC26" s="500">
        <f t="shared" si="10"/>
        <v>550.27900200000033</v>
      </c>
      <c r="AD26" s="452">
        <f t="shared" si="10"/>
        <v>550.27900200000033</v>
      </c>
      <c r="AE26" s="469"/>
      <c r="AF26" s="453"/>
      <c r="AG26" s="453"/>
      <c r="AH26" s="453"/>
      <c r="AI26" s="458"/>
      <c r="AJ26" s="459"/>
      <c r="AK26" s="497"/>
      <c r="AL26" s="473"/>
    </row>
    <row r="27" spans="1:38" ht="16.5" customHeight="1" x14ac:dyDescent="0.25">
      <c r="A27" s="502" t="s">
        <v>357</v>
      </c>
      <c r="B27" s="486"/>
      <c r="C27" s="447" t="s">
        <v>355</v>
      </c>
      <c r="D27" s="448"/>
      <c r="E27" s="449"/>
      <c r="F27" s="450">
        <f>F8*Sisendandmed!$C$14*Помещения!$D$67/1000</f>
        <v>314.4451440000002</v>
      </c>
      <c r="G27" s="451">
        <f>G8*Sisendandmed!$C$14*Помещения!$D$67/1000</f>
        <v>314.4451440000002</v>
      </c>
      <c r="H27" s="451">
        <f>H8*Sisendandmed!$C$14*Помещения!$D$67/1000</f>
        <v>314.4451440000002</v>
      </c>
      <c r="I27" s="451">
        <f>I8*Sisendandmed!$C$14*Помещения!$D$67/1000</f>
        <v>314.4451440000002</v>
      </c>
      <c r="J27" s="451">
        <f>J8*Sisendandmed!$C$14*Помещения!$D$67/1000</f>
        <v>314.4451440000002</v>
      </c>
      <c r="K27" s="451">
        <f>K8*Sisendandmed!$C$14*Помещения!$D$67/1000</f>
        <v>314.4451440000002</v>
      </c>
      <c r="L27" s="451">
        <f>L8*Sisendandmed!$C$14*Помещения!$D$67/1000</f>
        <v>314.4451440000002</v>
      </c>
      <c r="M27" s="451">
        <f>M8*Sisendandmed!$C$14*Помещения!$D$67/1000</f>
        <v>314.4451440000002</v>
      </c>
      <c r="N27" s="451">
        <f>N8*Sisendandmed!$C$14*Помещения!$D$67/1000</f>
        <v>314.4451440000002</v>
      </c>
      <c r="O27" s="451">
        <f>O8*Sisendandmed!$C$14*Помещения!$D$67/1000</f>
        <v>314.4451440000002</v>
      </c>
      <c r="P27" s="451">
        <f>P8*Sisendandmed!$C$14*Помещения!$D$67/1000</f>
        <v>314.4451440000002</v>
      </c>
      <c r="Q27" s="451">
        <f>Q8*Sisendandmed!$C$14*Помещения!$D$67/1000</f>
        <v>314.4451440000002</v>
      </c>
      <c r="R27" s="451">
        <f>R8*Sisendandmed!$C$14*Помещения!$D$67/1000</f>
        <v>314.4451440000002</v>
      </c>
      <c r="S27" s="451">
        <f>S8*Sisendandmed!$C$14*Помещения!$D$67/1000</f>
        <v>314.4451440000002</v>
      </c>
      <c r="T27" s="451">
        <f>T8*Sisendandmed!$C$14*Помещения!$D$67/1000</f>
        <v>314.4451440000002</v>
      </c>
      <c r="U27" s="451">
        <f>U8*Sisendandmed!$C$14*Помещения!$D$67/1000</f>
        <v>314.4451440000002</v>
      </c>
      <c r="V27" s="451">
        <f>V8*Sisendandmed!$C$14*Помещения!$D$67/1000</f>
        <v>314.4451440000002</v>
      </c>
      <c r="W27" s="451">
        <f>W8*Sisendandmed!$C$14*Помещения!$D$67/1000</f>
        <v>314.4451440000002</v>
      </c>
      <c r="X27" s="451">
        <f>X8*Sisendandmed!$C$14*Помещения!$D$67/1000</f>
        <v>314.4451440000002</v>
      </c>
      <c r="Y27" s="451">
        <f>Y8*Sisendandmed!$C$14*Помещения!$D$67/1000</f>
        <v>314.4451440000002</v>
      </c>
      <c r="Z27" s="451">
        <f>Z8*Sisendandmed!$C$14*Помещения!$D$67/1000</f>
        <v>314.4451440000002</v>
      </c>
      <c r="AA27" s="451">
        <f>AA8*Sisendandmed!$C$14*Помещения!$D$67/1000</f>
        <v>314.4451440000002</v>
      </c>
      <c r="AB27" s="451">
        <f>AB8*Sisendandmed!$C$14*Помещения!$D$67/1000</f>
        <v>314.4451440000002</v>
      </c>
      <c r="AC27" s="451">
        <f>AC8*Sisendandmed!$C$14*Помещения!$D$67/1000</f>
        <v>314.4451440000002</v>
      </c>
      <c r="AD27" s="452">
        <f>AD8*Sisendandmed!$C$14*Помещения!$D$67/1000</f>
        <v>314.4451440000002</v>
      </c>
      <c r="AE27" s="469"/>
      <c r="AF27" s="453"/>
      <c r="AG27" s="453"/>
      <c r="AH27" s="453"/>
      <c r="AI27" s="458"/>
      <c r="AJ27" s="459"/>
      <c r="AK27" s="497"/>
      <c r="AL27" s="473"/>
    </row>
    <row r="28" spans="1:38" ht="16.5" customHeight="1" x14ac:dyDescent="0.25">
      <c r="A28" s="502" t="s">
        <v>358</v>
      </c>
      <c r="B28" s="486"/>
      <c r="C28" s="447" t="s">
        <v>355</v>
      </c>
      <c r="D28" s="448"/>
      <c r="E28" s="449"/>
      <c r="F28" s="450">
        <f>(1-F8)*Sisendandmed!$D$14*Помещения!$D$67/1000</f>
        <v>235.83385800000016</v>
      </c>
      <c r="G28" s="451">
        <f>(1-G8)*Sisendandmed!$D$14*Помещения!$D$67/1000</f>
        <v>235.83385800000016</v>
      </c>
      <c r="H28" s="451">
        <f>(1-H8)*Sisendandmed!$D$14*Помещения!$D$67/1000</f>
        <v>235.83385800000016</v>
      </c>
      <c r="I28" s="451">
        <f>(1-I8)*Sisendandmed!$D$14*Помещения!$D$67/1000</f>
        <v>235.83385800000016</v>
      </c>
      <c r="J28" s="451">
        <f>(1-J8)*Sisendandmed!$D$14*Помещения!$D$67/1000</f>
        <v>235.83385800000016</v>
      </c>
      <c r="K28" s="451">
        <f>(1-K8)*Sisendandmed!$D$14*Помещения!$D$67/1000</f>
        <v>235.83385800000016</v>
      </c>
      <c r="L28" s="451">
        <f>(1-L8)*Sisendandmed!$D$14*Помещения!$D$67/1000</f>
        <v>235.83385800000016</v>
      </c>
      <c r="M28" s="451">
        <f>(1-M8)*Sisendandmed!$D$14*Помещения!$D$67/1000</f>
        <v>235.83385800000016</v>
      </c>
      <c r="N28" s="451">
        <f>(1-N8)*Sisendandmed!$D$14*Помещения!$D$67/1000</f>
        <v>235.83385800000016</v>
      </c>
      <c r="O28" s="451">
        <f>(1-O8)*Sisendandmed!$D$14*Помещения!$D$67/1000</f>
        <v>235.83385800000016</v>
      </c>
      <c r="P28" s="451">
        <f>(1-P8)*Sisendandmed!$D$14*Помещения!$D$67/1000</f>
        <v>235.83385800000016</v>
      </c>
      <c r="Q28" s="451">
        <f>(1-Q8)*Sisendandmed!$D$14*Помещения!$D$67/1000</f>
        <v>235.83385800000016</v>
      </c>
      <c r="R28" s="451">
        <f>(1-R8)*Sisendandmed!$D$14*Помещения!$D$67/1000</f>
        <v>235.83385800000016</v>
      </c>
      <c r="S28" s="451">
        <f>(1-S8)*Sisendandmed!$D$14*Помещения!$D$67/1000</f>
        <v>235.83385800000016</v>
      </c>
      <c r="T28" s="451">
        <f>(1-T8)*Sisendandmed!$D$14*Помещения!$D$67/1000</f>
        <v>235.83385800000016</v>
      </c>
      <c r="U28" s="451">
        <f>(1-U8)*Sisendandmed!$D$14*Помещения!$D$67/1000</f>
        <v>235.83385800000016</v>
      </c>
      <c r="V28" s="451">
        <f>(1-V8)*Sisendandmed!$D$14*Помещения!$D$67/1000</f>
        <v>235.83385800000016</v>
      </c>
      <c r="W28" s="451">
        <f>(1-W8)*Sisendandmed!$D$14*Помещения!$D$67/1000</f>
        <v>235.83385800000016</v>
      </c>
      <c r="X28" s="451">
        <f>(1-X8)*Sisendandmed!$D$14*Помещения!$D$67/1000</f>
        <v>235.83385800000016</v>
      </c>
      <c r="Y28" s="451">
        <f>(1-Y8)*Sisendandmed!$D$14*Помещения!$D$67/1000</f>
        <v>235.83385800000016</v>
      </c>
      <c r="Z28" s="451">
        <f>(1-Z8)*Sisendandmed!$D$14*Помещения!$D$67/1000</f>
        <v>235.83385800000016</v>
      </c>
      <c r="AA28" s="451">
        <f>(1-AA8)*Sisendandmed!$D$14*Помещения!$D$67/1000</f>
        <v>235.83385800000016</v>
      </c>
      <c r="AB28" s="451">
        <f>(1-AB8)*Sisendandmed!$D$14*Помещения!$D$67/1000</f>
        <v>235.83385800000016</v>
      </c>
      <c r="AC28" s="451">
        <f>(1-AC8)*Sisendandmed!$D$14*Помещения!$D$67/1000</f>
        <v>235.83385800000016</v>
      </c>
      <c r="AD28" s="452">
        <f>(1-AD8)*Sisendandmed!$D$14*Помещения!$D$67/1000</f>
        <v>235.83385800000016</v>
      </c>
      <c r="AE28" s="469"/>
      <c r="AF28" s="453"/>
      <c r="AG28" s="453"/>
      <c r="AH28" s="453"/>
      <c r="AI28" s="458"/>
      <c r="AJ28" s="459"/>
      <c r="AK28" s="497"/>
      <c r="AL28" s="473"/>
    </row>
    <row r="29" spans="1:38" ht="16.5" customHeight="1" x14ac:dyDescent="0.25">
      <c r="A29" s="501" t="s">
        <v>359</v>
      </c>
      <c r="B29" s="486"/>
      <c r="C29" s="447" t="s">
        <v>355</v>
      </c>
      <c r="D29" s="448"/>
      <c r="E29" s="449"/>
      <c r="F29" s="499">
        <f>SUM(F30:F32)</f>
        <v>34.588891600000011</v>
      </c>
      <c r="G29" s="500">
        <f t="shared" ref="G29:AD29" si="11">SUM(G30:G32)</f>
        <v>34.588891600000011</v>
      </c>
      <c r="H29" s="500">
        <f t="shared" si="11"/>
        <v>34.588891600000011</v>
      </c>
      <c r="I29" s="500">
        <f t="shared" si="11"/>
        <v>34.588891600000011</v>
      </c>
      <c r="J29" s="500">
        <f t="shared" si="11"/>
        <v>34.588891600000011</v>
      </c>
      <c r="K29" s="500">
        <f t="shared" si="11"/>
        <v>34.588891600000011</v>
      </c>
      <c r="L29" s="500">
        <f t="shared" si="11"/>
        <v>34.588891600000011</v>
      </c>
      <c r="M29" s="500">
        <f t="shared" si="11"/>
        <v>34.588891600000011</v>
      </c>
      <c r="N29" s="500">
        <f t="shared" si="11"/>
        <v>34.588891600000011</v>
      </c>
      <c r="O29" s="500">
        <f t="shared" si="11"/>
        <v>34.588891600000011</v>
      </c>
      <c r="P29" s="500">
        <f t="shared" si="11"/>
        <v>34.588891600000011</v>
      </c>
      <c r="Q29" s="500">
        <f t="shared" si="11"/>
        <v>34.588891600000011</v>
      </c>
      <c r="R29" s="500">
        <f t="shared" si="11"/>
        <v>34.588891600000011</v>
      </c>
      <c r="S29" s="500">
        <f t="shared" si="11"/>
        <v>34.588891600000011</v>
      </c>
      <c r="T29" s="500">
        <f t="shared" si="11"/>
        <v>34.588891600000011</v>
      </c>
      <c r="U29" s="500">
        <f t="shared" si="11"/>
        <v>34.588891600000011</v>
      </c>
      <c r="V29" s="500">
        <f t="shared" si="11"/>
        <v>34.588891600000011</v>
      </c>
      <c r="W29" s="500">
        <f t="shared" si="11"/>
        <v>34.588891600000011</v>
      </c>
      <c r="X29" s="500">
        <f t="shared" si="11"/>
        <v>34.588891600000011</v>
      </c>
      <c r="Y29" s="500">
        <f t="shared" si="11"/>
        <v>34.588891600000011</v>
      </c>
      <c r="Z29" s="500">
        <f t="shared" si="11"/>
        <v>34.588891600000011</v>
      </c>
      <c r="AA29" s="500">
        <f t="shared" si="11"/>
        <v>34.588891600000011</v>
      </c>
      <c r="AB29" s="500">
        <f t="shared" si="11"/>
        <v>34.588891600000011</v>
      </c>
      <c r="AC29" s="500">
        <f t="shared" si="11"/>
        <v>34.588891600000011</v>
      </c>
      <c r="AD29" s="452">
        <f t="shared" si="11"/>
        <v>34.588891600000011</v>
      </c>
      <c r="AE29" s="469"/>
      <c r="AF29" s="453"/>
      <c r="AG29" s="453"/>
      <c r="AH29" s="453"/>
      <c r="AI29" s="458"/>
      <c r="AJ29" s="459"/>
      <c r="AK29" s="497"/>
      <c r="AL29" s="473"/>
    </row>
    <row r="30" spans="1:38" ht="16.5" customHeight="1" x14ac:dyDescent="0.25">
      <c r="A30" s="502" t="s">
        <v>357</v>
      </c>
      <c r="B30" s="486"/>
      <c r="C30" s="447" t="s">
        <v>355</v>
      </c>
      <c r="D30" s="448"/>
      <c r="E30" s="449"/>
      <c r="F30" s="450">
        <f>F8*Sisendandmed!$C$15*Помещения!$D$62/1000</f>
        <v>6.7028512000000005</v>
      </c>
      <c r="G30" s="451">
        <f>G8*Sisendandmed!$C$15*Помещения!$D$62/1000</f>
        <v>6.7028512000000005</v>
      </c>
      <c r="H30" s="451">
        <f>H8*Sisendandmed!$C$15*Помещения!$D$62/1000</f>
        <v>6.7028512000000005</v>
      </c>
      <c r="I30" s="451">
        <f>I8*Sisendandmed!$C$15*Помещения!$D$62/1000</f>
        <v>6.7028512000000005</v>
      </c>
      <c r="J30" s="451">
        <f>J8*Sisendandmed!$C$15*Помещения!$D$62/1000</f>
        <v>6.7028512000000005</v>
      </c>
      <c r="K30" s="451">
        <f>K8*Sisendandmed!$C$15*Помещения!$D$62/1000</f>
        <v>6.7028512000000005</v>
      </c>
      <c r="L30" s="451">
        <f>L8*Sisendandmed!$C$15*Помещения!$D$62/1000</f>
        <v>6.7028512000000005</v>
      </c>
      <c r="M30" s="451">
        <f>M8*Sisendandmed!$C$15*Помещения!$D$62/1000</f>
        <v>6.7028512000000005</v>
      </c>
      <c r="N30" s="451">
        <f>N8*Sisendandmed!$C$15*Помещения!$D$62/1000</f>
        <v>6.7028512000000005</v>
      </c>
      <c r="O30" s="451">
        <f>O8*Sisendandmed!$C$15*Помещения!$D$62/1000</f>
        <v>6.7028512000000005</v>
      </c>
      <c r="P30" s="451">
        <f>P8*Sisendandmed!$C$15*Помещения!$D$62/1000</f>
        <v>6.7028512000000005</v>
      </c>
      <c r="Q30" s="451">
        <f>Q8*Sisendandmed!$C$15*Помещения!$D$62/1000</f>
        <v>6.7028512000000005</v>
      </c>
      <c r="R30" s="451">
        <f>R8*Sisendandmed!$C$15*Помещения!$D$62/1000</f>
        <v>6.7028512000000005</v>
      </c>
      <c r="S30" s="451">
        <f>S8*Sisendandmed!$C$15*Помещения!$D$62/1000</f>
        <v>6.7028512000000005</v>
      </c>
      <c r="T30" s="451">
        <f>T8*Sisendandmed!$C$15*Помещения!$D$62/1000</f>
        <v>6.7028512000000005</v>
      </c>
      <c r="U30" s="451">
        <f>U8*Sisendandmed!$C$15*Помещения!$D$62/1000</f>
        <v>6.7028512000000005</v>
      </c>
      <c r="V30" s="451">
        <f>V8*Sisendandmed!$C$15*Помещения!$D$62/1000</f>
        <v>6.7028512000000005</v>
      </c>
      <c r="W30" s="451">
        <f>W8*Sisendandmed!$C$15*Помещения!$D$62/1000</f>
        <v>6.7028512000000005</v>
      </c>
      <c r="X30" s="451">
        <f>X8*Sisendandmed!$C$15*Помещения!$D$62/1000</f>
        <v>6.7028512000000005</v>
      </c>
      <c r="Y30" s="451">
        <f>Y8*Sisendandmed!$C$15*Помещения!$D$62/1000</f>
        <v>6.7028512000000005</v>
      </c>
      <c r="Z30" s="451">
        <f>Z8*Sisendandmed!$C$15*Помещения!$D$62/1000</f>
        <v>6.7028512000000005</v>
      </c>
      <c r="AA30" s="451">
        <f>AA8*Sisendandmed!$C$15*Помещения!$D$62/1000</f>
        <v>6.7028512000000005</v>
      </c>
      <c r="AB30" s="451">
        <f>AB8*Sisendandmed!$C$15*Помещения!$D$62/1000</f>
        <v>6.7028512000000005</v>
      </c>
      <c r="AC30" s="451">
        <f>AC8*Sisendandmed!$C$15*Помещения!$D$62/1000</f>
        <v>6.7028512000000005</v>
      </c>
      <c r="AD30" s="452">
        <f>AD8*Sisendandmed!$C$15*Помещения!$D$62/1000</f>
        <v>6.7028512000000005</v>
      </c>
      <c r="AE30" s="469"/>
      <c r="AF30" s="453"/>
      <c r="AG30" s="453"/>
      <c r="AH30" s="453"/>
      <c r="AI30" s="458"/>
      <c r="AJ30" s="459"/>
      <c r="AK30" s="497"/>
      <c r="AL30" s="473"/>
    </row>
    <row r="31" spans="1:38" ht="16.5" customHeight="1" x14ac:dyDescent="0.25">
      <c r="A31" s="502" t="s">
        <v>360</v>
      </c>
      <c r="B31" s="486"/>
      <c r="C31" s="447" t="s">
        <v>355</v>
      </c>
      <c r="D31" s="448"/>
      <c r="E31" s="449"/>
      <c r="F31" s="450">
        <f>(1-F8)*Sisendandmed!$C$15*Помещения!$D$62/1000</f>
        <v>6.7028512000000005</v>
      </c>
      <c r="G31" s="451">
        <f>(1-G8)*Sisendandmed!$C$15*Помещения!$D$62/1000</f>
        <v>6.7028512000000005</v>
      </c>
      <c r="H31" s="451">
        <f>(1-H8)*Sisendandmed!$C$15*Помещения!$D$62/1000</f>
        <v>6.7028512000000005</v>
      </c>
      <c r="I31" s="451">
        <f>(1-I8)*Sisendandmed!$C$15*Помещения!$D$62/1000</f>
        <v>6.7028512000000005</v>
      </c>
      <c r="J31" s="451">
        <f>(1-J8)*Sisendandmed!$C$15*Помещения!$D$62/1000</f>
        <v>6.7028512000000005</v>
      </c>
      <c r="K31" s="451">
        <f>(1-K8)*Sisendandmed!$C$15*Помещения!$D$62/1000</f>
        <v>6.7028512000000005</v>
      </c>
      <c r="L31" s="451">
        <f>(1-L8)*Sisendandmed!$C$15*Помещения!$D$62/1000</f>
        <v>6.7028512000000005</v>
      </c>
      <c r="M31" s="451">
        <f>(1-M8)*Sisendandmed!$C$15*Помещения!$D$62/1000</f>
        <v>6.7028512000000005</v>
      </c>
      <c r="N31" s="451">
        <f>(1-N8)*Sisendandmed!$C$15*Помещения!$D$62/1000</f>
        <v>6.7028512000000005</v>
      </c>
      <c r="O31" s="451">
        <f>(1-O8)*Sisendandmed!$C$15*Помещения!$D$62/1000</f>
        <v>6.7028512000000005</v>
      </c>
      <c r="P31" s="451">
        <f>(1-P8)*Sisendandmed!$C$15*Помещения!$D$62/1000</f>
        <v>6.7028512000000005</v>
      </c>
      <c r="Q31" s="451">
        <f>(1-Q8)*Sisendandmed!$C$15*Помещения!$D$62/1000</f>
        <v>6.7028512000000005</v>
      </c>
      <c r="R31" s="451">
        <f>(1-R8)*Sisendandmed!$C$15*Помещения!$D$62/1000</f>
        <v>6.7028512000000005</v>
      </c>
      <c r="S31" s="451">
        <f>(1-S8)*Sisendandmed!$C$15*Помещения!$D$62/1000</f>
        <v>6.7028512000000005</v>
      </c>
      <c r="T31" s="451">
        <f>(1-T8)*Sisendandmed!$C$15*Помещения!$D$62/1000</f>
        <v>6.7028512000000005</v>
      </c>
      <c r="U31" s="451">
        <f>(1-U8)*Sisendandmed!$C$15*Помещения!$D$62/1000</f>
        <v>6.7028512000000005</v>
      </c>
      <c r="V31" s="451">
        <f>(1-V8)*Sisendandmed!$C$15*Помещения!$D$62/1000</f>
        <v>6.7028512000000005</v>
      </c>
      <c r="W31" s="451">
        <f>(1-W8)*Sisendandmed!$C$15*Помещения!$D$62/1000</f>
        <v>6.7028512000000005</v>
      </c>
      <c r="X31" s="451">
        <f>(1-X8)*Sisendandmed!$C$15*Помещения!$D$62/1000</f>
        <v>6.7028512000000005</v>
      </c>
      <c r="Y31" s="451">
        <f>(1-Y8)*Sisendandmed!$C$15*Помещения!$D$62/1000</f>
        <v>6.7028512000000005</v>
      </c>
      <c r="Z31" s="451">
        <f>(1-Z8)*Sisendandmed!$C$15*Помещения!$D$62/1000</f>
        <v>6.7028512000000005</v>
      </c>
      <c r="AA31" s="451">
        <f>(1-AA8)*Sisendandmed!$C$15*Помещения!$D$62/1000</f>
        <v>6.7028512000000005</v>
      </c>
      <c r="AB31" s="451">
        <f>(1-AB8)*Sisendandmed!$C$15*Помещения!$D$62/1000</f>
        <v>6.7028512000000005</v>
      </c>
      <c r="AC31" s="451">
        <f>(1-AC8)*Sisendandmed!$C$15*Помещения!$D$62/1000</f>
        <v>6.7028512000000005</v>
      </c>
      <c r="AD31" s="452">
        <f>(1-AD8)*Sisendandmed!$C$15*Помещения!$D$62/1000</f>
        <v>6.7028512000000005</v>
      </c>
      <c r="AE31" s="469"/>
      <c r="AF31" s="453"/>
      <c r="AG31" s="453"/>
      <c r="AH31" s="453"/>
      <c r="AI31" s="458"/>
      <c r="AJ31" s="459"/>
      <c r="AK31" s="497"/>
      <c r="AL31" s="473"/>
    </row>
    <row r="32" spans="1:38" ht="16.5" customHeight="1" x14ac:dyDescent="0.25">
      <c r="A32" s="502" t="s">
        <v>296</v>
      </c>
      <c r="B32" s="486"/>
      <c r="C32" s="447" t="s">
        <v>355</v>
      </c>
      <c r="D32" s="448"/>
      <c r="E32" s="449"/>
      <c r="F32" s="450">
        <f>Sisendandmed!$C$15*Помещения!$F$62/1000</f>
        <v>21.183189200000008</v>
      </c>
      <c r="G32" s="451">
        <f>Sisendandmed!$C$15*Помещения!$F$62/1000</f>
        <v>21.183189200000008</v>
      </c>
      <c r="H32" s="451">
        <f>Sisendandmed!$C$15*Помещения!$F$62/1000</f>
        <v>21.183189200000008</v>
      </c>
      <c r="I32" s="451">
        <f>Sisendandmed!$C$15*Помещения!$F$62/1000</f>
        <v>21.183189200000008</v>
      </c>
      <c r="J32" s="451">
        <f>Sisendandmed!$C$15*Помещения!$F$62/1000</f>
        <v>21.183189200000008</v>
      </c>
      <c r="K32" s="451">
        <f>Sisendandmed!$C$15*Помещения!$F$62/1000</f>
        <v>21.183189200000008</v>
      </c>
      <c r="L32" s="451">
        <f>Sisendandmed!$C$15*Помещения!$F$62/1000</f>
        <v>21.183189200000008</v>
      </c>
      <c r="M32" s="451">
        <f>Sisendandmed!$C$15*Помещения!$F$62/1000</f>
        <v>21.183189200000008</v>
      </c>
      <c r="N32" s="451">
        <f>Sisendandmed!$C$15*Помещения!$F$62/1000</f>
        <v>21.183189200000008</v>
      </c>
      <c r="O32" s="451">
        <f>Sisendandmed!$C$15*Помещения!$F$62/1000</f>
        <v>21.183189200000008</v>
      </c>
      <c r="P32" s="451">
        <f>Sisendandmed!$C$15*Помещения!$F$62/1000</f>
        <v>21.183189200000008</v>
      </c>
      <c r="Q32" s="451">
        <f>Sisendandmed!$C$15*Помещения!$F$62/1000</f>
        <v>21.183189200000008</v>
      </c>
      <c r="R32" s="451">
        <f>Sisendandmed!$C$15*Помещения!$F$62/1000</f>
        <v>21.183189200000008</v>
      </c>
      <c r="S32" s="451">
        <f>Sisendandmed!$C$15*Помещения!$F$62/1000</f>
        <v>21.183189200000008</v>
      </c>
      <c r="T32" s="451">
        <f>Sisendandmed!$C$15*Помещения!$F$62/1000</f>
        <v>21.183189200000008</v>
      </c>
      <c r="U32" s="451">
        <f>Sisendandmed!$C$15*Помещения!$F$62/1000</f>
        <v>21.183189200000008</v>
      </c>
      <c r="V32" s="451">
        <f>Sisendandmed!$C$15*Помещения!$F$62/1000</f>
        <v>21.183189200000008</v>
      </c>
      <c r="W32" s="451">
        <f>Sisendandmed!$C$15*Помещения!$F$62/1000</f>
        <v>21.183189200000008</v>
      </c>
      <c r="X32" s="451">
        <f>Sisendandmed!$C$15*Помещения!$F$62/1000</f>
        <v>21.183189200000008</v>
      </c>
      <c r="Y32" s="451">
        <f>Sisendandmed!$C$15*Помещения!$F$62/1000</f>
        <v>21.183189200000008</v>
      </c>
      <c r="Z32" s="451">
        <f>Sisendandmed!$C$15*Помещения!$F$62/1000</f>
        <v>21.183189200000008</v>
      </c>
      <c r="AA32" s="451">
        <f>Sisendandmed!$C$15*Помещения!$F$62/1000</f>
        <v>21.183189200000008</v>
      </c>
      <c r="AB32" s="451">
        <f>Sisendandmed!$C$15*Помещения!$F$62/1000</f>
        <v>21.183189200000008</v>
      </c>
      <c r="AC32" s="451">
        <f>Sisendandmed!$C$15*Помещения!$F$62/1000</f>
        <v>21.183189200000008</v>
      </c>
      <c r="AD32" s="452">
        <f>Sisendandmed!$C$15*Помещения!$F$62/1000</f>
        <v>21.183189200000008</v>
      </c>
      <c r="AE32" s="469"/>
      <c r="AF32" s="453"/>
      <c r="AG32" s="453"/>
      <c r="AH32" s="453"/>
      <c r="AI32" s="458"/>
      <c r="AJ32" s="459"/>
      <c r="AK32" s="497"/>
      <c r="AL32" s="473"/>
    </row>
    <row r="33" spans="1:38" ht="16.5" customHeight="1" x14ac:dyDescent="0.25">
      <c r="A33" s="498" t="s">
        <v>361</v>
      </c>
      <c r="B33" s="486"/>
      <c r="C33" s="447" t="s">
        <v>362</v>
      </c>
      <c r="D33" s="448"/>
      <c r="E33" s="449"/>
      <c r="F33" s="450">
        <f>F34+F36</f>
        <v>122208.03000000006</v>
      </c>
      <c r="G33" s="451">
        <f t="shared" ref="G33:AD33" si="12">G34+G36</f>
        <v>122208.03000000006</v>
      </c>
      <c r="H33" s="451">
        <f t="shared" si="12"/>
        <v>122208.03000000006</v>
      </c>
      <c r="I33" s="451">
        <f t="shared" si="12"/>
        <v>122208.03000000006</v>
      </c>
      <c r="J33" s="451">
        <f t="shared" si="12"/>
        <v>122208.03000000006</v>
      </c>
      <c r="K33" s="451">
        <f t="shared" si="12"/>
        <v>122208.03000000006</v>
      </c>
      <c r="L33" s="451">
        <f t="shared" si="12"/>
        <v>122208.03000000006</v>
      </c>
      <c r="M33" s="451">
        <f t="shared" si="12"/>
        <v>122208.03000000006</v>
      </c>
      <c r="N33" s="451">
        <f t="shared" si="12"/>
        <v>122208.03000000006</v>
      </c>
      <c r="O33" s="451">
        <f t="shared" si="12"/>
        <v>122208.03000000006</v>
      </c>
      <c r="P33" s="451">
        <f t="shared" si="12"/>
        <v>122208.03000000006</v>
      </c>
      <c r="Q33" s="451">
        <f t="shared" si="12"/>
        <v>122208.03000000006</v>
      </c>
      <c r="R33" s="451">
        <f t="shared" si="12"/>
        <v>122208.03000000006</v>
      </c>
      <c r="S33" s="451">
        <f t="shared" si="12"/>
        <v>122208.03000000006</v>
      </c>
      <c r="T33" s="451">
        <f t="shared" si="12"/>
        <v>122208.03000000006</v>
      </c>
      <c r="U33" s="451">
        <f t="shared" si="12"/>
        <v>122208.03000000006</v>
      </c>
      <c r="V33" s="451">
        <f t="shared" si="12"/>
        <v>122208.03000000006</v>
      </c>
      <c r="W33" s="451">
        <f t="shared" si="12"/>
        <v>122208.03000000006</v>
      </c>
      <c r="X33" s="451">
        <f t="shared" si="12"/>
        <v>122208.03000000006</v>
      </c>
      <c r="Y33" s="451">
        <f t="shared" si="12"/>
        <v>122208.03000000006</v>
      </c>
      <c r="Z33" s="451">
        <f t="shared" si="12"/>
        <v>122208.03000000006</v>
      </c>
      <c r="AA33" s="451">
        <f t="shared" si="12"/>
        <v>122208.03000000006</v>
      </c>
      <c r="AB33" s="451">
        <f t="shared" si="12"/>
        <v>122208.03000000006</v>
      </c>
      <c r="AC33" s="451">
        <f t="shared" si="12"/>
        <v>122208.03000000006</v>
      </c>
      <c r="AD33" s="452">
        <f t="shared" si="12"/>
        <v>122208.03000000006</v>
      </c>
      <c r="AE33" s="469"/>
      <c r="AF33" s="453"/>
      <c r="AG33" s="453"/>
      <c r="AH33" s="453"/>
      <c r="AI33" s="458"/>
      <c r="AJ33" s="459"/>
      <c r="AK33" s="497"/>
      <c r="AL33" s="473"/>
    </row>
    <row r="34" spans="1:38" ht="16.5" customHeight="1" x14ac:dyDescent="0.25">
      <c r="A34" s="501" t="s">
        <v>356</v>
      </c>
      <c r="B34" s="486"/>
      <c r="C34" s="447" t="s">
        <v>362</v>
      </c>
      <c r="D34" s="448"/>
      <c r="E34" s="449"/>
      <c r="F34" s="450">
        <f>F35</f>
        <v>117858.00000000006</v>
      </c>
      <c r="G34" s="451">
        <f t="shared" ref="G34:AD34" si="13">G35</f>
        <v>117858.00000000006</v>
      </c>
      <c r="H34" s="451">
        <f t="shared" si="13"/>
        <v>117858.00000000006</v>
      </c>
      <c r="I34" s="451">
        <f t="shared" si="13"/>
        <v>117858.00000000006</v>
      </c>
      <c r="J34" s="451">
        <f t="shared" si="13"/>
        <v>117858.00000000006</v>
      </c>
      <c r="K34" s="451">
        <f t="shared" si="13"/>
        <v>117858.00000000006</v>
      </c>
      <c r="L34" s="451">
        <f t="shared" si="13"/>
        <v>117858.00000000006</v>
      </c>
      <c r="M34" s="451">
        <f t="shared" si="13"/>
        <v>117858.00000000006</v>
      </c>
      <c r="N34" s="451">
        <f t="shared" si="13"/>
        <v>117858.00000000006</v>
      </c>
      <c r="O34" s="451">
        <f t="shared" si="13"/>
        <v>117858.00000000006</v>
      </c>
      <c r="P34" s="451">
        <f t="shared" si="13"/>
        <v>117858.00000000006</v>
      </c>
      <c r="Q34" s="451">
        <f t="shared" si="13"/>
        <v>117858.00000000006</v>
      </c>
      <c r="R34" s="451">
        <f t="shared" si="13"/>
        <v>117858.00000000006</v>
      </c>
      <c r="S34" s="451">
        <f t="shared" si="13"/>
        <v>117858.00000000006</v>
      </c>
      <c r="T34" s="451">
        <f t="shared" si="13"/>
        <v>117858.00000000006</v>
      </c>
      <c r="U34" s="451">
        <f t="shared" si="13"/>
        <v>117858.00000000006</v>
      </c>
      <c r="V34" s="451">
        <f t="shared" si="13"/>
        <v>117858.00000000006</v>
      </c>
      <c r="W34" s="451">
        <f t="shared" si="13"/>
        <v>117858.00000000006</v>
      </c>
      <c r="X34" s="451">
        <f t="shared" si="13"/>
        <v>117858.00000000006</v>
      </c>
      <c r="Y34" s="451">
        <f t="shared" si="13"/>
        <v>117858.00000000006</v>
      </c>
      <c r="Z34" s="451">
        <f t="shared" si="13"/>
        <v>117858.00000000006</v>
      </c>
      <c r="AA34" s="451">
        <f t="shared" si="13"/>
        <v>117858.00000000006</v>
      </c>
      <c r="AB34" s="451">
        <f t="shared" si="13"/>
        <v>117858.00000000006</v>
      </c>
      <c r="AC34" s="451">
        <f t="shared" si="13"/>
        <v>117858.00000000006</v>
      </c>
      <c r="AD34" s="452">
        <f t="shared" si="13"/>
        <v>117858.00000000006</v>
      </c>
      <c r="AE34" s="469"/>
      <c r="AF34" s="453"/>
      <c r="AG34" s="453"/>
      <c r="AH34" s="453"/>
      <c r="AI34" s="458"/>
      <c r="AJ34" s="459"/>
      <c r="AK34" s="497"/>
      <c r="AL34" s="473"/>
    </row>
    <row r="35" spans="1:38" ht="16.5" customHeight="1" x14ac:dyDescent="0.25">
      <c r="A35" s="502" t="s">
        <v>357</v>
      </c>
      <c r="B35" s="486"/>
      <c r="C35" s="447" t="s">
        <v>362</v>
      </c>
      <c r="D35" s="448"/>
      <c r="E35" s="449"/>
      <c r="F35" s="450">
        <f>F9*Sisendandmed!$C$20*Sisendandmed!$H$35/1000</f>
        <v>117858.00000000006</v>
      </c>
      <c r="G35" s="451">
        <f>G9*Sisendandmed!$C$20*Sisendandmed!$H$35/1000</f>
        <v>117858.00000000006</v>
      </c>
      <c r="H35" s="451">
        <f>H9*Sisendandmed!$C$20*Sisendandmed!$H$35/1000</f>
        <v>117858.00000000006</v>
      </c>
      <c r="I35" s="451">
        <f>I9*Sisendandmed!$C$20*Sisendandmed!$H$35/1000</f>
        <v>117858.00000000006</v>
      </c>
      <c r="J35" s="451">
        <f>J9*Sisendandmed!$C$20*Sisendandmed!$H$35/1000</f>
        <v>117858.00000000006</v>
      </c>
      <c r="K35" s="451">
        <f>K9*Sisendandmed!$C$20*Sisendandmed!$H$35/1000</f>
        <v>117858.00000000006</v>
      </c>
      <c r="L35" s="451">
        <f>L9*Sisendandmed!$C$20*Sisendandmed!$H$35/1000</f>
        <v>117858.00000000006</v>
      </c>
      <c r="M35" s="451">
        <f>M9*Sisendandmed!$C$20*Sisendandmed!$H$35/1000</f>
        <v>117858.00000000006</v>
      </c>
      <c r="N35" s="451">
        <f>N9*Sisendandmed!$C$20*Sisendandmed!$H$35/1000</f>
        <v>117858.00000000006</v>
      </c>
      <c r="O35" s="451">
        <f>O9*Sisendandmed!$C$20*Sisendandmed!$H$35/1000</f>
        <v>117858.00000000006</v>
      </c>
      <c r="P35" s="451">
        <f>P9*Sisendandmed!$C$20*Sisendandmed!$H$35/1000</f>
        <v>117858.00000000006</v>
      </c>
      <c r="Q35" s="451">
        <f>Q9*Sisendandmed!$C$20*Sisendandmed!$H$35/1000</f>
        <v>117858.00000000006</v>
      </c>
      <c r="R35" s="451">
        <f>R9*Sisendandmed!$C$20*Sisendandmed!$H$35/1000</f>
        <v>117858.00000000006</v>
      </c>
      <c r="S35" s="451">
        <f>S9*Sisendandmed!$C$20*Sisendandmed!$H$35/1000</f>
        <v>117858.00000000006</v>
      </c>
      <c r="T35" s="451">
        <f>T9*Sisendandmed!$C$20*Sisendandmed!$H$35/1000</f>
        <v>117858.00000000006</v>
      </c>
      <c r="U35" s="451">
        <f>U9*Sisendandmed!$C$20*Sisendandmed!$H$35/1000</f>
        <v>117858.00000000006</v>
      </c>
      <c r="V35" s="451">
        <f>V9*Sisendandmed!$C$20*Sisendandmed!$H$35/1000</f>
        <v>117858.00000000006</v>
      </c>
      <c r="W35" s="451">
        <f>W9*Sisendandmed!$C$20*Sisendandmed!$H$35/1000</f>
        <v>117858.00000000006</v>
      </c>
      <c r="X35" s="451">
        <f>X9*Sisendandmed!$C$20*Sisendandmed!$H$35/1000</f>
        <v>117858.00000000006</v>
      </c>
      <c r="Y35" s="451">
        <f>Y9*Sisendandmed!$C$20*Sisendandmed!$H$35/1000</f>
        <v>117858.00000000006</v>
      </c>
      <c r="Z35" s="451">
        <f>Z9*Sisendandmed!$C$20*Sisendandmed!$H$35/1000</f>
        <v>117858.00000000006</v>
      </c>
      <c r="AA35" s="451">
        <f>AA9*Sisendandmed!$C$20*Sisendandmed!$H$35/1000</f>
        <v>117858.00000000006</v>
      </c>
      <c r="AB35" s="451">
        <f>AB9*Sisendandmed!$C$20*Sisendandmed!$H$35/1000</f>
        <v>117858.00000000006</v>
      </c>
      <c r="AC35" s="451">
        <f>AC9*Sisendandmed!$C$20*Sisendandmed!$H$35/1000</f>
        <v>117858.00000000006</v>
      </c>
      <c r="AD35" s="452">
        <f>AD9*Sisendandmed!$C$20*Sisendandmed!$H$35/1000</f>
        <v>117858.00000000006</v>
      </c>
      <c r="AE35" s="469"/>
      <c r="AF35" s="453"/>
      <c r="AG35" s="453"/>
      <c r="AH35" s="453"/>
      <c r="AI35" s="458"/>
      <c r="AJ35" s="459"/>
      <c r="AK35" s="497"/>
      <c r="AL35" s="473"/>
    </row>
    <row r="36" spans="1:38" ht="16.5" customHeight="1" x14ac:dyDescent="0.25">
      <c r="A36" s="501" t="s">
        <v>359</v>
      </c>
      <c r="B36" s="486"/>
      <c r="C36" s="447" t="s">
        <v>362</v>
      </c>
      <c r="D36" s="448"/>
      <c r="E36" s="449"/>
      <c r="F36" s="450">
        <f>SUM(F37:F38)</f>
        <v>4350.0300000000007</v>
      </c>
      <c r="G36" s="451">
        <f t="shared" ref="G36:AD36" si="14">SUM(G37:G38)</f>
        <v>4350.0300000000007</v>
      </c>
      <c r="H36" s="451">
        <f t="shared" si="14"/>
        <v>4350.0300000000007</v>
      </c>
      <c r="I36" s="451">
        <f t="shared" si="14"/>
        <v>4350.0300000000007</v>
      </c>
      <c r="J36" s="451">
        <f t="shared" si="14"/>
        <v>4350.0300000000007</v>
      </c>
      <c r="K36" s="451">
        <f t="shared" si="14"/>
        <v>4350.0300000000007</v>
      </c>
      <c r="L36" s="451">
        <f t="shared" si="14"/>
        <v>4350.0300000000007</v>
      </c>
      <c r="M36" s="451">
        <f t="shared" si="14"/>
        <v>4350.0300000000007</v>
      </c>
      <c r="N36" s="451">
        <f t="shared" si="14"/>
        <v>4350.0300000000007</v>
      </c>
      <c r="O36" s="451">
        <f t="shared" si="14"/>
        <v>4350.0300000000007</v>
      </c>
      <c r="P36" s="451">
        <f t="shared" si="14"/>
        <v>4350.0300000000007</v>
      </c>
      <c r="Q36" s="451">
        <f t="shared" si="14"/>
        <v>4350.0300000000007</v>
      </c>
      <c r="R36" s="451">
        <f t="shared" si="14"/>
        <v>4350.0300000000007</v>
      </c>
      <c r="S36" s="451">
        <f t="shared" si="14"/>
        <v>4350.0300000000007</v>
      </c>
      <c r="T36" s="451">
        <f t="shared" si="14"/>
        <v>4350.0300000000007</v>
      </c>
      <c r="U36" s="451">
        <f t="shared" si="14"/>
        <v>4350.0300000000007</v>
      </c>
      <c r="V36" s="451">
        <f t="shared" si="14"/>
        <v>4350.0300000000007</v>
      </c>
      <c r="W36" s="451">
        <f t="shared" si="14"/>
        <v>4350.0300000000007</v>
      </c>
      <c r="X36" s="451">
        <f t="shared" si="14"/>
        <v>4350.0300000000007</v>
      </c>
      <c r="Y36" s="451">
        <f t="shared" si="14"/>
        <v>4350.0300000000007</v>
      </c>
      <c r="Z36" s="451">
        <f t="shared" si="14"/>
        <v>4350.0300000000007</v>
      </c>
      <c r="AA36" s="451">
        <f t="shared" si="14"/>
        <v>4350.0300000000007</v>
      </c>
      <c r="AB36" s="451">
        <f t="shared" si="14"/>
        <v>4350.0300000000007</v>
      </c>
      <c r="AC36" s="451">
        <f t="shared" si="14"/>
        <v>4350.0300000000007</v>
      </c>
      <c r="AD36" s="452">
        <f t="shared" si="14"/>
        <v>4350.0300000000007</v>
      </c>
      <c r="AE36" s="469"/>
      <c r="AF36" s="453"/>
      <c r="AG36" s="453"/>
      <c r="AH36" s="453"/>
      <c r="AI36" s="458"/>
      <c r="AJ36" s="459"/>
      <c r="AK36" s="497"/>
      <c r="AL36" s="473"/>
    </row>
    <row r="37" spans="1:38" ht="16.5" customHeight="1" x14ac:dyDescent="0.25">
      <c r="A37" s="502" t="s">
        <v>357</v>
      </c>
      <c r="B37" s="486"/>
      <c r="C37" s="447" t="s">
        <v>362</v>
      </c>
      <c r="D37" s="448"/>
      <c r="E37" s="449"/>
      <c r="F37" s="450">
        <f>F11*Sisendandmed!$C$21*Sisendandmed!$H$36/1000</f>
        <v>412.94999999999993</v>
      </c>
      <c r="G37" s="451">
        <f>G11*Sisendandmed!$C$21*Sisendandmed!$H$36/1000</f>
        <v>412.94999999999993</v>
      </c>
      <c r="H37" s="451">
        <f>H11*Sisendandmed!$C$21*Sisendandmed!$H$36/1000</f>
        <v>412.94999999999993</v>
      </c>
      <c r="I37" s="451">
        <f>I11*Sisendandmed!$C$21*Sisendandmed!$H$36/1000</f>
        <v>412.94999999999993</v>
      </c>
      <c r="J37" s="451">
        <f>J11*Sisendandmed!$C$21*Sisendandmed!$H$36/1000</f>
        <v>412.94999999999993</v>
      </c>
      <c r="K37" s="451">
        <f>K11*Sisendandmed!$C$21*Sisendandmed!$H$36/1000</f>
        <v>412.94999999999993</v>
      </c>
      <c r="L37" s="451">
        <f>L11*Sisendandmed!$C$21*Sisendandmed!$H$36/1000</f>
        <v>412.94999999999993</v>
      </c>
      <c r="M37" s="451">
        <f>M11*Sisendandmed!$C$21*Sisendandmed!$H$36/1000</f>
        <v>412.94999999999993</v>
      </c>
      <c r="N37" s="451">
        <f>N11*Sisendandmed!$C$21*Sisendandmed!$H$36/1000</f>
        <v>412.94999999999993</v>
      </c>
      <c r="O37" s="451">
        <f>O11*Sisendandmed!$C$21*Sisendandmed!$H$36/1000</f>
        <v>412.94999999999993</v>
      </c>
      <c r="P37" s="451">
        <f>P11*Sisendandmed!$C$21*Sisendandmed!$H$36/1000</f>
        <v>412.94999999999993</v>
      </c>
      <c r="Q37" s="451">
        <f>Q11*Sisendandmed!$C$21*Sisendandmed!$H$36/1000</f>
        <v>412.94999999999993</v>
      </c>
      <c r="R37" s="451">
        <f>R11*Sisendandmed!$C$21*Sisendandmed!$H$36/1000</f>
        <v>412.94999999999993</v>
      </c>
      <c r="S37" s="451">
        <f>S11*Sisendandmed!$C$21*Sisendandmed!$H$36/1000</f>
        <v>412.94999999999993</v>
      </c>
      <c r="T37" s="451">
        <f>T11*Sisendandmed!$C$21*Sisendandmed!$H$36/1000</f>
        <v>412.94999999999993</v>
      </c>
      <c r="U37" s="451">
        <f>U11*Sisendandmed!$C$21*Sisendandmed!$H$36/1000</f>
        <v>412.94999999999993</v>
      </c>
      <c r="V37" s="451">
        <f>V11*Sisendandmed!$C$21*Sisendandmed!$H$36/1000</f>
        <v>412.94999999999993</v>
      </c>
      <c r="W37" s="451">
        <f>W11*Sisendandmed!$C$21*Sisendandmed!$H$36/1000</f>
        <v>412.94999999999993</v>
      </c>
      <c r="X37" s="451">
        <f>X11*Sisendandmed!$C$21*Sisendandmed!$H$36/1000</f>
        <v>412.94999999999993</v>
      </c>
      <c r="Y37" s="451">
        <f>Y11*Sisendandmed!$C$21*Sisendandmed!$H$36/1000</f>
        <v>412.94999999999993</v>
      </c>
      <c r="Z37" s="451">
        <f>Z11*Sisendandmed!$C$21*Sisendandmed!$H$36/1000</f>
        <v>412.94999999999993</v>
      </c>
      <c r="AA37" s="451">
        <f>AA11*Sisendandmed!$C$21*Sisendandmed!$H$36/1000</f>
        <v>412.94999999999993</v>
      </c>
      <c r="AB37" s="451">
        <f>AB11*Sisendandmed!$C$21*Sisendandmed!$H$36/1000</f>
        <v>412.94999999999993</v>
      </c>
      <c r="AC37" s="451">
        <f>AC11*Sisendandmed!$C$21*Sisendandmed!$H$36/1000</f>
        <v>412.94999999999993</v>
      </c>
      <c r="AD37" s="452">
        <f>AD11*Sisendandmed!$C$21*Sisendandmed!$H$36/1000</f>
        <v>412.94999999999993</v>
      </c>
      <c r="AE37" s="469"/>
      <c r="AF37" s="453"/>
      <c r="AG37" s="453"/>
      <c r="AH37" s="453"/>
      <c r="AI37" s="458"/>
      <c r="AJ37" s="459"/>
      <c r="AK37" s="497"/>
      <c r="AL37" s="473"/>
    </row>
    <row r="38" spans="1:38" ht="16.5" customHeight="1" x14ac:dyDescent="0.25">
      <c r="A38" s="502" t="s">
        <v>296</v>
      </c>
      <c r="B38" s="486"/>
      <c r="C38" s="447" t="s">
        <v>362</v>
      </c>
      <c r="D38" s="448"/>
      <c r="E38" s="449"/>
      <c r="F38" s="450">
        <f>F13*Sisendandmed!$D$21*Sisendandmed!$H$37/1000</f>
        <v>3937.0800000000008</v>
      </c>
      <c r="G38" s="451">
        <f>G13*Sisendandmed!$D$21*Sisendandmed!$H$37/1000</f>
        <v>3937.0800000000008</v>
      </c>
      <c r="H38" s="451">
        <f>H13*Sisendandmed!$D$21*Sisendandmed!$H$37/1000</f>
        <v>3937.0800000000008</v>
      </c>
      <c r="I38" s="451">
        <f>I13*Sisendandmed!$D$21*Sisendandmed!$H$37/1000</f>
        <v>3937.0800000000008</v>
      </c>
      <c r="J38" s="451">
        <f>J13*Sisendandmed!$D$21*Sisendandmed!$H$37/1000</f>
        <v>3937.0800000000008</v>
      </c>
      <c r="K38" s="451">
        <f>K13*Sisendandmed!$D$21*Sisendandmed!$H$37/1000</f>
        <v>3937.0800000000008</v>
      </c>
      <c r="L38" s="451">
        <f>L13*Sisendandmed!$D$21*Sisendandmed!$H$37/1000</f>
        <v>3937.0800000000008</v>
      </c>
      <c r="M38" s="451">
        <f>M13*Sisendandmed!$D$21*Sisendandmed!$H$37/1000</f>
        <v>3937.0800000000008</v>
      </c>
      <c r="N38" s="451">
        <f>N13*Sisendandmed!$D$21*Sisendandmed!$H$37/1000</f>
        <v>3937.0800000000008</v>
      </c>
      <c r="O38" s="451">
        <f>O13*Sisendandmed!$D$21*Sisendandmed!$H$37/1000</f>
        <v>3937.0800000000008</v>
      </c>
      <c r="P38" s="451">
        <f>P13*Sisendandmed!$D$21*Sisendandmed!$H$37/1000</f>
        <v>3937.0800000000008</v>
      </c>
      <c r="Q38" s="451">
        <f>Q13*Sisendandmed!$D$21*Sisendandmed!$H$37/1000</f>
        <v>3937.0800000000008</v>
      </c>
      <c r="R38" s="451">
        <f>R13*Sisendandmed!$D$21*Sisendandmed!$H$37/1000</f>
        <v>3937.0800000000008</v>
      </c>
      <c r="S38" s="451">
        <f>S13*Sisendandmed!$D$21*Sisendandmed!$H$37/1000</f>
        <v>3937.0800000000008</v>
      </c>
      <c r="T38" s="451">
        <f>T13*Sisendandmed!$D$21*Sisendandmed!$H$37/1000</f>
        <v>3937.0800000000008</v>
      </c>
      <c r="U38" s="451">
        <f>U13*Sisendandmed!$D$21*Sisendandmed!$H$37/1000</f>
        <v>3937.0800000000008</v>
      </c>
      <c r="V38" s="451">
        <f>V13*Sisendandmed!$D$21*Sisendandmed!$H$37/1000</f>
        <v>3937.0800000000008</v>
      </c>
      <c r="W38" s="451">
        <f>W13*Sisendandmed!$D$21*Sisendandmed!$H$37/1000</f>
        <v>3937.0800000000008</v>
      </c>
      <c r="X38" s="451">
        <f>X13*Sisendandmed!$D$21*Sisendandmed!$H$37/1000</f>
        <v>3937.0800000000008</v>
      </c>
      <c r="Y38" s="451">
        <f>Y13*Sisendandmed!$D$21*Sisendandmed!$H$37/1000</f>
        <v>3937.0800000000008</v>
      </c>
      <c r="Z38" s="451">
        <f>Z13*Sisendandmed!$D$21*Sisendandmed!$H$37/1000</f>
        <v>3937.0800000000008</v>
      </c>
      <c r="AA38" s="451">
        <f>AA13*Sisendandmed!$D$21*Sisendandmed!$H$37/1000</f>
        <v>3937.0800000000008</v>
      </c>
      <c r="AB38" s="451">
        <f>AB13*Sisendandmed!$D$21*Sisendandmed!$H$37/1000</f>
        <v>3937.0800000000008</v>
      </c>
      <c r="AC38" s="451">
        <f>AC13*Sisendandmed!$D$21*Sisendandmed!$H$37/1000</f>
        <v>3937.0800000000008</v>
      </c>
      <c r="AD38" s="452">
        <f>AD13*Sisendandmed!$D$21*Sisendandmed!$H$37/1000</f>
        <v>3937.0800000000008</v>
      </c>
      <c r="AE38" s="469"/>
      <c r="AF38" s="453"/>
      <c r="AG38" s="453"/>
      <c r="AH38" s="453"/>
      <c r="AI38" s="458"/>
      <c r="AJ38" s="459"/>
      <c r="AK38" s="497"/>
      <c r="AL38" s="473"/>
    </row>
    <row r="39" spans="1:38" s="507" customFormat="1" ht="16.5" customHeight="1" x14ac:dyDescent="0.25">
      <c r="A39" s="498" t="s">
        <v>274</v>
      </c>
      <c r="B39" s="503"/>
      <c r="C39" s="447" t="s">
        <v>363</v>
      </c>
      <c r="D39" s="448"/>
      <c r="E39" s="449"/>
      <c r="F39" s="450">
        <f>SUM(F40:F41)</f>
        <v>2197.44</v>
      </c>
      <c r="G39" s="451">
        <f t="shared" ref="G39:AD39" si="15">SUM(G40:G41)</f>
        <v>2197.44</v>
      </c>
      <c r="H39" s="451">
        <f t="shared" si="15"/>
        <v>2197.44</v>
      </c>
      <c r="I39" s="451">
        <f t="shared" si="15"/>
        <v>2197.44</v>
      </c>
      <c r="J39" s="451">
        <f t="shared" si="15"/>
        <v>2197.44</v>
      </c>
      <c r="K39" s="451">
        <f t="shared" si="15"/>
        <v>2197.44</v>
      </c>
      <c r="L39" s="451">
        <f t="shared" si="15"/>
        <v>2197.44</v>
      </c>
      <c r="M39" s="451">
        <f t="shared" si="15"/>
        <v>2197.44</v>
      </c>
      <c r="N39" s="451">
        <f t="shared" si="15"/>
        <v>2197.44</v>
      </c>
      <c r="O39" s="451">
        <f t="shared" si="15"/>
        <v>2197.44</v>
      </c>
      <c r="P39" s="451">
        <f t="shared" si="15"/>
        <v>2197.44</v>
      </c>
      <c r="Q39" s="451">
        <f t="shared" si="15"/>
        <v>2197.44</v>
      </c>
      <c r="R39" s="451">
        <f t="shared" si="15"/>
        <v>2197.44</v>
      </c>
      <c r="S39" s="451">
        <f t="shared" si="15"/>
        <v>2197.44</v>
      </c>
      <c r="T39" s="451">
        <f t="shared" si="15"/>
        <v>2197.44</v>
      </c>
      <c r="U39" s="451">
        <f t="shared" si="15"/>
        <v>2197.44</v>
      </c>
      <c r="V39" s="451">
        <f t="shared" si="15"/>
        <v>2197.44</v>
      </c>
      <c r="W39" s="451">
        <f t="shared" si="15"/>
        <v>2197.44</v>
      </c>
      <c r="X39" s="451">
        <f t="shared" si="15"/>
        <v>2197.44</v>
      </c>
      <c r="Y39" s="451">
        <f t="shared" si="15"/>
        <v>2197.44</v>
      </c>
      <c r="Z39" s="451">
        <f t="shared" si="15"/>
        <v>2197.44</v>
      </c>
      <c r="AA39" s="451">
        <f t="shared" si="15"/>
        <v>2197.44</v>
      </c>
      <c r="AB39" s="451">
        <f t="shared" si="15"/>
        <v>2197.44</v>
      </c>
      <c r="AC39" s="451">
        <f t="shared" si="15"/>
        <v>2197.44</v>
      </c>
      <c r="AD39" s="495">
        <f t="shared" si="15"/>
        <v>2197.44</v>
      </c>
      <c r="AE39" s="504"/>
      <c r="AF39" s="505"/>
      <c r="AG39" s="505"/>
      <c r="AH39" s="505"/>
      <c r="AI39" s="506"/>
      <c r="AJ39" s="455"/>
      <c r="AK39" s="497"/>
      <c r="AL39" s="457"/>
    </row>
    <row r="40" spans="1:38" s="507" customFormat="1" ht="16.5" customHeight="1" x14ac:dyDescent="0.25">
      <c r="A40" s="502" t="s">
        <v>289</v>
      </c>
      <c r="B40" s="503"/>
      <c r="C40" s="447" t="s">
        <v>363</v>
      </c>
      <c r="D40" s="448"/>
      <c r="E40" s="449"/>
      <c r="F40" s="450">
        <f>Sisendandmed!$C$23*F22*12</f>
        <v>1318.4639999999999</v>
      </c>
      <c r="G40" s="451">
        <f>Sisendandmed!$C$23*G22*12</f>
        <v>1318.4639999999999</v>
      </c>
      <c r="H40" s="451">
        <f>Sisendandmed!$C$23*H22*12</f>
        <v>1318.4639999999999</v>
      </c>
      <c r="I40" s="451">
        <f>Sisendandmed!$C$23*I22*12</f>
        <v>1318.4639999999999</v>
      </c>
      <c r="J40" s="451">
        <f>Sisendandmed!$C$23*J22*12</f>
        <v>1318.4639999999999</v>
      </c>
      <c r="K40" s="451">
        <f>Sisendandmed!$C$23*K22*12</f>
        <v>1318.4639999999999</v>
      </c>
      <c r="L40" s="451">
        <f>Sisendandmed!$C$23*L22*12</f>
        <v>1318.4639999999999</v>
      </c>
      <c r="M40" s="451">
        <f>Sisendandmed!$C$23*M22*12</f>
        <v>1318.4639999999999</v>
      </c>
      <c r="N40" s="451">
        <f>Sisendandmed!$C$23*N22*12</f>
        <v>1318.4639999999999</v>
      </c>
      <c r="O40" s="451">
        <f>Sisendandmed!$C$23*O22*12</f>
        <v>1318.4639999999999</v>
      </c>
      <c r="P40" s="451">
        <f>Sisendandmed!$C$23*P22*12</f>
        <v>1318.4639999999999</v>
      </c>
      <c r="Q40" s="451">
        <f>Sisendandmed!$C$23*Q22*12</f>
        <v>1318.4639999999999</v>
      </c>
      <c r="R40" s="451">
        <f>Sisendandmed!$C$23*R22*12</f>
        <v>1318.4639999999999</v>
      </c>
      <c r="S40" s="451">
        <f>Sisendandmed!$C$23*S22*12</f>
        <v>1318.4639999999999</v>
      </c>
      <c r="T40" s="451">
        <f>Sisendandmed!$C$23*T22*12</f>
        <v>1318.4639999999999</v>
      </c>
      <c r="U40" s="451">
        <f>Sisendandmed!$C$23*U22*12</f>
        <v>1318.4639999999999</v>
      </c>
      <c r="V40" s="451">
        <f>Sisendandmed!$C$23*V22*12</f>
        <v>1318.4639999999999</v>
      </c>
      <c r="W40" s="451">
        <f>Sisendandmed!$C$23*W22*12</f>
        <v>1318.4639999999999</v>
      </c>
      <c r="X40" s="451">
        <f>Sisendandmed!$C$23*X22*12</f>
        <v>1318.4639999999999</v>
      </c>
      <c r="Y40" s="451">
        <f>Sisendandmed!$C$23*Y22*12</f>
        <v>1318.4639999999999</v>
      </c>
      <c r="Z40" s="451">
        <f>Sisendandmed!$C$23*Z22*12</f>
        <v>1318.4639999999999</v>
      </c>
      <c r="AA40" s="451">
        <f>Sisendandmed!$C$23*AA22*12</f>
        <v>1318.4639999999999</v>
      </c>
      <c r="AB40" s="451">
        <f>Sisendandmed!$C$23*AB22*12</f>
        <v>1318.4639999999999</v>
      </c>
      <c r="AC40" s="451">
        <f>Sisendandmed!$C$23*AC22*12</f>
        <v>1318.4639999999999</v>
      </c>
      <c r="AD40" s="495">
        <f>Sisendandmed!$C$23*AD22*12</f>
        <v>1318.4639999999999</v>
      </c>
      <c r="AE40" s="504"/>
      <c r="AF40" s="505"/>
      <c r="AG40" s="505"/>
      <c r="AH40" s="505"/>
      <c r="AI40" s="506"/>
      <c r="AJ40" s="455"/>
      <c r="AK40" s="497"/>
      <c r="AL40" s="457"/>
    </row>
    <row r="41" spans="1:38" s="507" customFormat="1" ht="16.5" customHeight="1" x14ac:dyDescent="0.25">
      <c r="A41" s="502" t="s">
        <v>290</v>
      </c>
      <c r="B41" s="503"/>
      <c r="C41" s="447" t="s">
        <v>363</v>
      </c>
      <c r="D41" s="448"/>
      <c r="E41" s="449"/>
      <c r="F41" s="450">
        <f>Sisendandmed!$C$24*F22*12</f>
        <v>878.97600000000011</v>
      </c>
      <c r="G41" s="451">
        <f>Sisendandmed!$C$24*G22*12</f>
        <v>878.97600000000011</v>
      </c>
      <c r="H41" s="451">
        <f>Sisendandmed!$C$24*H22*12</f>
        <v>878.97600000000011</v>
      </c>
      <c r="I41" s="451">
        <f>Sisendandmed!$C$24*I22*12</f>
        <v>878.97600000000011</v>
      </c>
      <c r="J41" s="451">
        <f>Sisendandmed!$C$24*J22*12</f>
        <v>878.97600000000011</v>
      </c>
      <c r="K41" s="451">
        <f>Sisendandmed!$C$24*K22*12</f>
        <v>878.97600000000011</v>
      </c>
      <c r="L41" s="451">
        <f>Sisendandmed!$C$24*L22*12</f>
        <v>878.97600000000011</v>
      </c>
      <c r="M41" s="451">
        <f>Sisendandmed!$C$24*M22*12</f>
        <v>878.97600000000011</v>
      </c>
      <c r="N41" s="451">
        <f>Sisendandmed!$C$24*N22*12</f>
        <v>878.97600000000011</v>
      </c>
      <c r="O41" s="451">
        <f>Sisendandmed!$C$24*O22*12</f>
        <v>878.97600000000011</v>
      </c>
      <c r="P41" s="451">
        <f>Sisendandmed!$C$24*P22*12</f>
        <v>878.97600000000011</v>
      </c>
      <c r="Q41" s="451">
        <f>Sisendandmed!$C$24*Q22*12</f>
        <v>878.97600000000011</v>
      </c>
      <c r="R41" s="451">
        <f>Sisendandmed!$C$24*R22*12</f>
        <v>878.97600000000011</v>
      </c>
      <c r="S41" s="451">
        <f>Sisendandmed!$C$24*S22*12</f>
        <v>878.97600000000011</v>
      </c>
      <c r="T41" s="451">
        <f>Sisendandmed!$C$24*T22*12</f>
        <v>878.97600000000011</v>
      </c>
      <c r="U41" s="451">
        <f>Sisendandmed!$C$24*U22*12</f>
        <v>878.97600000000011</v>
      </c>
      <c r="V41" s="451">
        <f>Sisendandmed!$C$24*V22*12</f>
        <v>878.97600000000011</v>
      </c>
      <c r="W41" s="451">
        <f>Sisendandmed!$C$24*W22*12</f>
        <v>878.97600000000011</v>
      </c>
      <c r="X41" s="451">
        <f>Sisendandmed!$C$24*X22*12</f>
        <v>878.97600000000011</v>
      </c>
      <c r="Y41" s="451">
        <f>Sisendandmed!$C$24*Y22*12</f>
        <v>878.97600000000011</v>
      </c>
      <c r="Z41" s="451">
        <f>Sisendandmed!$C$24*Z22*12</f>
        <v>878.97600000000011</v>
      </c>
      <c r="AA41" s="451">
        <f>Sisendandmed!$C$24*AA22*12</f>
        <v>878.97600000000011</v>
      </c>
      <c r="AB41" s="451">
        <f>Sisendandmed!$C$24*AB22*12</f>
        <v>878.97600000000011</v>
      </c>
      <c r="AC41" s="451">
        <f>Sisendandmed!$C$24*AC22*12</f>
        <v>878.97600000000011</v>
      </c>
      <c r="AD41" s="495">
        <f>Sisendandmed!$C$24*AD22*12</f>
        <v>878.97600000000011</v>
      </c>
      <c r="AE41" s="504"/>
      <c r="AF41" s="505"/>
      <c r="AG41" s="505"/>
      <c r="AH41" s="505"/>
      <c r="AI41" s="506"/>
      <c r="AJ41" s="455"/>
      <c r="AK41" s="497"/>
      <c r="AL41" s="457"/>
    </row>
    <row r="42" spans="1:38" s="507" customFormat="1" ht="16.5" customHeight="1" x14ac:dyDescent="0.25">
      <c r="A42" s="498" t="s">
        <v>291</v>
      </c>
      <c r="B42" s="503"/>
      <c r="C42" s="447" t="s">
        <v>355</v>
      </c>
      <c r="D42" s="448"/>
      <c r="E42" s="449"/>
      <c r="F42" s="450">
        <f>F22*Sisendandmed!$C$25</f>
        <v>53.628</v>
      </c>
      <c r="G42" s="451">
        <f>G22*Sisendandmed!$C$25</f>
        <v>53.628</v>
      </c>
      <c r="H42" s="451">
        <f>H22*Sisendandmed!$C$25</f>
        <v>53.628</v>
      </c>
      <c r="I42" s="451">
        <f>I22*Sisendandmed!$C$25</f>
        <v>53.628</v>
      </c>
      <c r="J42" s="451">
        <f>J22*Sisendandmed!$C$25</f>
        <v>53.628</v>
      </c>
      <c r="K42" s="451">
        <f>K22*Sisendandmed!$C$25</f>
        <v>53.628</v>
      </c>
      <c r="L42" s="451">
        <f>L22*Sisendandmed!$C$25</f>
        <v>53.628</v>
      </c>
      <c r="M42" s="451">
        <f>M22*Sisendandmed!$C$25</f>
        <v>53.628</v>
      </c>
      <c r="N42" s="451">
        <f>N22*Sisendandmed!$C$25</f>
        <v>53.628</v>
      </c>
      <c r="O42" s="451">
        <f>O22*Sisendandmed!$C$25</f>
        <v>53.628</v>
      </c>
      <c r="P42" s="451">
        <f>P22*Sisendandmed!$C$25</f>
        <v>53.628</v>
      </c>
      <c r="Q42" s="451">
        <f>Q22*Sisendandmed!$C$25</f>
        <v>53.628</v>
      </c>
      <c r="R42" s="451">
        <f>R22*Sisendandmed!$C$25</f>
        <v>53.628</v>
      </c>
      <c r="S42" s="451">
        <f>S22*Sisendandmed!$C$25</f>
        <v>53.628</v>
      </c>
      <c r="T42" s="451">
        <f>T22*Sisendandmed!$C$25</f>
        <v>53.628</v>
      </c>
      <c r="U42" s="451">
        <f>U22*Sisendandmed!$C$25</f>
        <v>53.628</v>
      </c>
      <c r="V42" s="451">
        <f>V22*Sisendandmed!$C$25</f>
        <v>53.628</v>
      </c>
      <c r="W42" s="451">
        <f>W22*Sisendandmed!$C$25</f>
        <v>53.628</v>
      </c>
      <c r="X42" s="451">
        <f>X22*Sisendandmed!$C$25</f>
        <v>53.628</v>
      </c>
      <c r="Y42" s="451">
        <f>Y22*Sisendandmed!$C$25</f>
        <v>53.628</v>
      </c>
      <c r="Z42" s="451">
        <f>Z22*Sisendandmed!$C$25</f>
        <v>53.628</v>
      </c>
      <c r="AA42" s="451">
        <f>AA22*Sisendandmed!$C$25</f>
        <v>53.628</v>
      </c>
      <c r="AB42" s="451">
        <f>AB22*Sisendandmed!$C$25</f>
        <v>53.628</v>
      </c>
      <c r="AC42" s="451">
        <f>AC22*Sisendandmed!$C$25</f>
        <v>53.628</v>
      </c>
      <c r="AD42" s="495">
        <f>AD22*Sisendandmed!$C$25</f>
        <v>53.628</v>
      </c>
      <c r="AE42" s="504"/>
      <c r="AF42" s="505"/>
      <c r="AG42" s="505"/>
      <c r="AH42" s="505"/>
      <c r="AI42" s="506"/>
      <c r="AJ42" s="455"/>
      <c r="AK42" s="497"/>
      <c r="AL42" s="457"/>
    </row>
    <row r="43" spans="1:38" s="507" customFormat="1" ht="16.5" hidden="1" customHeight="1" x14ac:dyDescent="0.25">
      <c r="A43" s="502"/>
      <c r="B43" s="503"/>
      <c r="C43" s="447"/>
      <c r="D43" s="448"/>
      <c r="E43" s="449"/>
      <c r="F43" s="450"/>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95"/>
      <c r="AE43" s="504"/>
      <c r="AF43" s="505"/>
      <c r="AG43" s="505"/>
      <c r="AH43" s="505"/>
      <c r="AI43" s="506"/>
      <c r="AJ43" s="455"/>
      <c r="AK43" s="497"/>
      <c r="AL43" s="457"/>
    </row>
    <row r="44" spans="1:38" s="507" customFormat="1" ht="16.5" customHeight="1" x14ac:dyDescent="0.25">
      <c r="A44" s="498" t="s">
        <v>324</v>
      </c>
      <c r="B44" s="503"/>
      <c r="C44" s="447"/>
      <c r="D44" s="448"/>
      <c r="E44" s="449"/>
      <c r="F44" s="450"/>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95"/>
      <c r="AE44" s="504"/>
      <c r="AF44" s="505"/>
      <c r="AG44" s="505"/>
      <c r="AH44" s="505"/>
      <c r="AI44" s="506"/>
      <c r="AJ44" s="455"/>
      <c r="AK44" s="497"/>
      <c r="AL44" s="457"/>
    </row>
    <row r="45" spans="1:38" s="507" customFormat="1" ht="25.5" customHeight="1" x14ac:dyDescent="0.25">
      <c r="A45" s="502" t="s">
        <v>364</v>
      </c>
      <c r="B45" s="503"/>
      <c r="C45" s="447" t="s">
        <v>365</v>
      </c>
      <c r="D45" s="448"/>
      <c r="E45" s="449"/>
      <c r="F45" s="508">
        <f>F18*Sisendandmed!$C$52/Sisendandmed!$C$54</f>
        <v>1.25</v>
      </c>
      <c r="G45" s="509">
        <f>G18*Sisendandmed!$C$52/Sisendandmed!$C$54</f>
        <v>1.25</v>
      </c>
      <c r="H45" s="509">
        <f>H18*Sisendandmed!$C$52/Sisendandmed!$C$54</f>
        <v>1.25</v>
      </c>
      <c r="I45" s="509">
        <f>I18*Sisendandmed!$C$52/Sisendandmed!$C$54</f>
        <v>1.25</v>
      </c>
      <c r="J45" s="509">
        <f>J18*Sisendandmed!$C$52/Sisendandmed!$C$54</f>
        <v>1.25</v>
      </c>
      <c r="K45" s="509">
        <f>K18*Sisendandmed!$C$52/Sisendandmed!$C$54</f>
        <v>1.25</v>
      </c>
      <c r="L45" s="509">
        <f>L18*Sisendandmed!$C$52/Sisendandmed!$C$54</f>
        <v>1.25</v>
      </c>
      <c r="M45" s="509">
        <f>M18*Sisendandmed!$C$52/Sisendandmed!$C$54</f>
        <v>1.25</v>
      </c>
      <c r="N45" s="509">
        <f>N18*Sisendandmed!$C$52/Sisendandmed!$C$54</f>
        <v>1.25</v>
      </c>
      <c r="O45" s="509">
        <f>O18*Sisendandmed!$C$52/Sisendandmed!$C$54</f>
        <v>1.25</v>
      </c>
      <c r="P45" s="509">
        <f>P18*Sisendandmed!$C$52/Sisendandmed!$C$54</f>
        <v>1.25</v>
      </c>
      <c r="Q45" s="509">
        <f>Q18*Sisendandmed!$C$52/Sisendandmed!$C$54</f>
        <v>1.25</v>
      </c>
      <c r="R45" s="509">
        <f>R18*Sisendandmed!$C$52/Sisendandmed!$C$54</f>
        <v>1.25</v>
      </c>
      <c r="S45" s="509">
        <f>S18*Sisendandmed!$C$52/Sisendandmed!$C$54</f>
        <v>1.25</v>
      </c>
      <c r="T45" s="509">
        <f>T18*Sisendandmed!$C$52/Sisendandmed!$C$54</f>
        <v>1.25</v>
      </c>
      <c r="U45" s="509">
        <f>U18*Sisendandmed!$C$52/Sisendandmed!$C$54</f>
        <v>1.25</v>
      </c>
      <c r="V45" s="509">
        <f>V18*Sisendandmed!$C$52/Sisendandmed!$C$54</f>
        <v>1.25</v>
      </c>
      <c r="W45" s="509">
        <f>W18*Sisendandmed!$C$52/Sisendandmed!$C$54</f>
        <v>1.25</v>
      </c>
      <c r="X45" s="509">
        <f>X18*Sisendandmed!$C$52/Sisendandmed!$C$54</f>
        <v>1.25</v>
      </c>
      <c r="Y45" s="509">
        <f>Y18*Sisendandmed!$C$52/Sisendandmed!$C$54</f>
        <v>1.25</v>
      </c>
      <c r="Z45" s="509">
        <f>Z18*Sisendandmed!$C$52/Sisendandmed!$C$54</f>
        <v>1.25</v>
      </c>
      <c r="AA45" s="509">
        <f>AA18*Sisendandmed!$C$52/Sisendandmed!$C$54</f>
        <v>1.25</v>
      </c>
      <c r="AB45" s="509">
        <f>AB18*Sisendandmed!$C$52/Sisendandmed!$C$54</f>
        <v>1.25</v>
      </c>
      <c r="AC45" s="509">
        <f>AC18*Sisendandmed!$C$52/Sisendandmed!$C$54</f>
        <v>1.25</v>
      </c>
      <c r="AD45" s="510">
        <f>AD18*Sisendandmed!$C$52/Sisendandmed!$C$54</f>
        <v>1.25</v>
      </c>
      <c r="AE45" s="504"/>
      <c r="AF45" s="505"/>
      <c r="AG45" s="505"/>
      <c r="AH45" s="505"/>
      <c r="AI45" s="506"/>
      <c r="AJ45" s="455"/>
      <c r="AK45" s="497"/>
      <c r="AL45" s="457"/>
    </row>
    <row r="46" spans="1:38" s="507" customFormat="1" ht="26.25" customHeight="1" x14ac:dyDescent="0.25">
      <c r="A46" s="502" t="s">
        <v>366</v>
      </c>
      <c r="B46" s="503"/>
      <c r="C46" s="447" t="s">
        <v>367</v>
      </c>
      <c r="D46" s="448"/>
      <c r="E46" s="449"/>
      <c r="F46" s="450">
        <f>Sisendandmed!C51</f>
        <v>5000</v>
      </c>
      <c r="G46" s="451">
        <f>F46</f>
        <v>5000</v>
      </c>
      <c r="H46" s="451">
        <f>G46</f>
        <v>5000</v>
      </c>
      <c r="I46" s="451">
        <f t="shared" ref="I46:AC46" si="16">H46</f>
        <v>5000</v>
      </c>
      <c r="J46" s="451">
        <f t="shared" si="16"/>
        <v>5000</v>
      </c>
      <c r="K46" s="451">
        <f t="shared" si="16"/>
        <v>5000</v>
      </c>
      <c r="L46" s="451">
        <f t="shared" si="16"/>
        <v>5000</v>
      </c>
      <c r="M46" s="451">
        <f t="shared" si="16"/>
        <v>5000</v>
      </c>
      <c r="N46" s="451">
        <f t="shared" si="16"/>
        <v>5000</v>
      </c>
      <c r="O46" s="451">
        <f t="shared" si="16"/>
        <v>5000</v>
      </c>
      <c r="P46" s="451">
        <f t="shared" si="16"/>
        <v>5000</v>
      </c>
      <c r="Q46" s="451">
        <f t="shared" si="16"/>
        <v>5000</v>
      </c>
      <c r="R46" s="451">
        <f t="shared" si="16"/>
        <v>5000</v>
      </c>
      <c r="S46" s="451">
        <f t="shared" si="16"/>
        <v>5000</v>
      </c>
      <c r="T46" s="451">
        <f t="shared" si="16"/>
        <v>5000</v>
      </c>
      <c r="U46" s="451">
        <f t="shared" si="16"/>
        <v>5000</v>
      </c>
      <c r="V46" s="451">
        <f t="shared" si="16"/>
        <v>5000</v>
      </c>
      <c r="W46" s="451">
        <f t="shared" si="16"/>
        <v>5000</v>
      </c>
      <c r="X46" s="451">
        <f t="shared" si="16"/>
        <v>5000</v>
      </c>
      <c r="Y46" s="451">
        <f t="shared" si="16"/>
        <v>5000</v>
      </c>
      <c r="Z46" s="451">
        <f t="shared" si="16"/>
        <v>5000</v>
      </c>
      <c r="AA46" s="451">
        <f t="shared" si="16"/>
        <v>5000</v>
      </c>
      <c r="AB46" s="451">
        <f t="shared" si="16"/>
        <v>5000</v>
      </c>
      <c r="AC46" s="451">
        <f t="shared" si="16"/>
        <v>5000</v>
      </c>
      <c r="AD46" s="452">
        <f>AC46</f>
        <v>5000</v>
      </c>
      <c r="AE46" s="504"/>
      <c r="AF46" s="505"/>
      <c r="AG46" s="505"/>
      <c r="AH46" s="505"/>
      <c r="AI46" s="506"/>
      <c r="AJ46" s="455"/>
      <c r="AK46" s="497"/>
      <c r="AL46" s="457"/>
    </row>
    <row r="47" spans="1:38" s="507" customFormat="1" ht="17.25" customHeight="1" x14ac:dyDescent="0.25">
      <c r="A47" s="502" t="s">
        <v>368</v>
      </c>
      <c r="B47" s="503"/>
      <c r="C47" s="447" t="s">
        <v>369</v>
      </c>
      <c r="D47" s="448"/>
      <c r="E47" s="449"/>
      <c r="F47" s="508">
        <f>F18*Sisendandmed!$C$52/Sisendandmed!$C$54</f>
        <v>1.25</v>
      </c>
      <c r="G47" s="509">
        <f>G18*Sisendandmed!$C$52/Sisendandmed!$C$54</f>
        <v>1.25</v>
      </c>
      <c r="H47" s="509">
        <f>H18*Sisendandmed!$C$52/Sisendandmed!$C$54</f>
        <v>1.25</v>
      </c>
      <c r="I47" s="509">
        <f>I18*Sisendandmed!$C$52/Sisendandmed!$C$54</f>
        <v>1.25</v>
      </c>
      <c r="J47" s="509">
        <f>J18*Sisendandmed!$C$52/Sisendandmed!$C$54</f>
        <v>1.25</v>
      </c>
      <c r="K47" s="509">
        <f>K18*Sisendandmed!$C$52/Sisendandmed!$C$54</f>
        <v>1.25</v>
      </c>
      <c r="L47" s="509">
        <f>L18*Sisendandmed!$C$52/Sisendandmed!$C$54</f>
        <v>1.25</v>
      </c>
      <c r="M47" s="509">
        <f>M18*Sisendandmed!$C$52/Sisendandmed!$C$54</f>
        <v>1.25</v>
      </c>
      <c r="N47" s="509">
        <f>N18*Sisendandmed!$C$52/Sisendandmed!$C$54</f>
        <v>1.25</v>
      </c>
      <c r="O47" s="509">
        <f>O18*Sisendandmed!$C$52/Sisendandmed!$C$54</f>
        <v>1.25</v>
      </c>
      <c r="P47" s="509">
        <f>P18*Sisendandmed!$C$52/Sisendandmed!$C$54</f>
        <v>1.25</v>
      </c>
      <c r="Q47" s="509">
        <f>Q18*Sisendandmed!$C$52/Sisendandmed!$C$54</f>
        <v>1.25</v>
      </c>
      <c r="R47" s="509">
        <f>R18*Sisendandmed!$C$52/Sisendandmed!$C$54</f>
        <v>1.25</v>
      </c>
      <c r="S47" s="509">
        <f>S18*Sisendandmed!$C$52/Sisendandmed!$C$54</f>
        <v>1.25</v>
      </c>
      <c r="T47" s="509">
        <f>T18*Sisendandmed!$C$52/Sisendandmed!$C$54</f>
        <v>1.25</v>
      </c>
      <c r="U47" s="509">
        <f>U18*Sisendandmed!$C$52/Sisendandmed!$C$54</f>
        <v>1.25</v>
      </c>
      <c r="V47" s="509">
        <f>V18*Sisendandmed!$C$52/Sisendandmed!$C$54</f>
        <v>1.25</v>
      </c>
      <c r="W47" s="509">
        <f>W18*Sisendandmed!$C$52/Sisendandmed!$C$54</f>
        <v>1.25</v>
      </c>
      <c r="X47" s="509">
        <f>X18*Sisendandmed!$C$52/Sisendandmed!$C$54</f>
        <v>1.25</v>
      </c>
      <c r="Y47" s="509">
        <f>Y18*Sisendandmed!$C$52/Sisendandmed!$C$54</f>
        <v>1.25</v>
      </c>
      <c r="Z47" s="509">
        <f>Z18*Sisendandmed!$C$52/Sisendandmed!$C$54</f>
        <v>1.25</v>
      </c>
      <c r="AA47" s="509">
        <f>AA18*Sisendandmed!$C$52/Sisendandmed!$C$54</f>
        <v>1.25</v>
      </c>
      <c r="AB47" s="509">
        <f>AB18*Sisendandmed!$C$52/Sisendandmed!$C$54</f>
        <v>1.25</v>
      </c>
      <c r="AC47" s="509">
        <f>AC18*Sisendandmed!$C$52/Sisendandmed!$C$54</f>
        <v>1.25</v>
      </c>
      <c r="AD47" s="510">
        <f>AD18*Sisendandmed!$C$52/Sisendandmed!$C$54</f>
        <v>1.25</v>
      </c>
      <c r="AE47" s="504"/>
      <c r="AF47" s="505"/>
      <c r="AG47" s="505"/>
      <c r="AH47" s="505"/>
      <c r="AI47" s="506"/>
      <c r="AJ47" s="455"/>
      <c r="AK47" s="497"/>
      <c r="AL47" s="457"/>
    </row>
    <row r="48" spans="1:38" s="507" customFormat="1" ht="17.25" customHeight="1" x14ac:dyDescent="0.25">
      <c r="A48" s="502" t="s">
        <v>370</v>
      </c>
      <c r="B48" s="503"/>
      <c r="C48" s="447" t="s">
        <v>371</v>
      </c>
      <c r="D48" s="448"/>
      <c r="E48" s="449"/>
      <c r="F48" s="450">
        <f>Sisendandmed!C53</f>
        <v>5000</v>
      </c>
      <c r="G48" s="451">
        <f>F48</f>
        <v>5000</v>
      </c>
      <c r="H48" s="451">
        <f>G48</f>
        <v>5000</v>
      </c>
      <c r="I48" s="451">
        <f t="shared" ref="I48:AC48" si="17">H48</f>
        <v>5000</v>
      </c>
      <c r="J48" s="451">
        <f t="shared" si="17"/>
        <v>5000</v>
      </c>
      <c r="K48" s="451">
        <f t="shared" si="17"/>
        <v>5000</v>
      </c>
      <c r="L48" s="451">
        <f t="shared" si="17"/>
        <v>5000</v>
      </c>
      <c r="M48" s="451">
        <f t="shared" si="17"/>
        <v>5000</v>
      </c>
      <c r="N48" s="451">
        <f t="shared" si="17"/>
        <v>5000</v>
      </c>
      <c r="O48" s="451">
        <f t="shared" si="17"/>
        <v>5000</v>
      </c>
      <c r="P48" s="451">
        <f t="shared" si="17"/>
        <v>5000</v>
      </c>
      <c r="Q48" s="451">
        <f t="shared" si="17"/>
        <v>5000</v>
      </c>
      <c r="R48" s="451">
        <f t="shared" si="17"/>
        <v>5000</v>
      </c>
      <c r="S48" s="451">
        <f t="shared" si="17"/>
        <v>5000</v>
      </c>
      <c r="T48" s="451">
        <f t="shared" si="17"/>
        <v>5000</v>
      </c>
      <c r="U48" s="451">
        <f t="shared" si="17"/>
        <v>5000</v>
      </c>
      <c r="V48" s="451">
        <f t="shared" si="17"/>
        <v>5000</v>
      </c>
      <c r="W48" s="451">
        <f t="shared" si="17"/>
        <v>5000</v>
      </c>
      <c r="X48" s="451">
        <f t="shared" si="17"/>
        <v>5000</v>
      </c>
      <c r="Y48" s="451">
        <f t="shared" si="17"/>
        <v>5000</v>
      </c>
      <c r="Z48" s="451">
        <f t="shared" si="17"/>
        <v>5000</v>
      </c>
      <c r="AA48" s="451">
        <f t="shared" si="17"/>
        <v>5000</v>
      </c>
      <c r="AB48" s="451">
        <f t="shared" si="17"/>
        <v>5000</v>
      </c>
      <c r="AC48" s="451">
        <f t="shared" si="17"/>
        <v>5000</v>
      </c>
      <c r="AD48" s="452">
        <f>AC48</f>
        <v>5000</v>
      </c>
      <c r="AE48" s="504"/>
      <c r="AF48" s="505"/>
      <c r="AG48" s="505"/>
      <c r="AH48" s="505"/>
      <c r="AI48" s="506"/>
      <c r="AJ48" s="455"/>
      <c r="AK48" s="497"/>
      <c r="AL48" s="457"/>
    </row>
    <row r="49" spans="1:38" s="507" customFormat="1" ht="17.25" customHeight="1" x14ac:dyDescent="0.25">
      <c r="A49" s="502" t="s">
        <v>332</v>
      </c>
      <c r="B49" s="503"/>
      <c r="C49" s="447" t="s">
        <v>372</v>
      </c>
      <c r="D49" s="448"/>
      <c r="E49" s="449"/>
      <c r="F49" s="450">
        <f>Kulud!$E$32</f>
        <v>5000</v>
      </c>
      <c r="G49" s="451">
        <f>Kulud!$E$32</f>
        <v>5000</v>
      </c>
      <c r="H49" s="451">
        <f>Kulud!$E$32</f>
        <v>5000</v>
      </c>
      <c r="I49" s="451">
        <f>Kulud!$E$32</f>
        <v>5000</v>
      </c>
      <c r="J49" s="451">
        <f>Kulud!$E$32</f>
        <v>5000</v>
      </c>
      <c r="K49" s="451">
        <f>Kulud!$E$32</f>
        <v>5000</v>
      </c>
      <c r="L49" s="451">
        <f>Kulud!$E$32</f>
        <v>5000</v>
      </c>
      <c r="M49" s="451">
        <f>Kulud!$E$32</f>
        <v>5000</v>
      </c>
      <c r="N49" s="451">
        <f>Kulud!$E$32</f>
        <v>5000</v>
      </c>
      <c r="O49" s="451">
        <f>Kulud!$E$32</f>
        <v>5000</v>
      </c>
      <c r="P49" s="451">
        <f>Kulud!$E$32</f>
        <v>5000</v>
      </c>
      <c r="Q49" s="451">
        <f>Kulud!$E$32</f>
        <v>5000</v>
      </c>
      <c r="R49" s="451">
        <f>Kulud!$E$32</f>
        <v>5000</v>
      </c>
      <c r="S49" s="451">
        <f>Kulud!$E$32</f>
        <v>5000</v>
      </c>
      <c r="T49" s="451">
        <f>Kulud!$E$32</f>
        <v>5000</v>
      </c>
      <c r="U49" s="451">
        <f>Kulud!$E$32</f>
        <v>5000</v>
      </c>
      <c r="V49" s="451">
        <f>Kulud!$E$32</f>
        <v>5000</v>
      </c>
      <c r="W49" s="451">
        <f>Kulud!$E$32</f>
        <v>5000</v>
      </c>
      <c r="X49" s="451">
        <f>Kulud!$E$32</f>
        <v>5000</v>
      </c>
      <c r="Y49" s="451">
        <f>Kulud!$E$32</f>
        <v>5000</v>
      </c>
      <c r="Z49" s="451">
        <f>Kulud!$E$32</f>
        <v>5000</v>
      </c>
      <c r="AA49" s="451">
        <f>Kulud!$E$32</f>
        <v>5000</v>
      </c>
      <c r="AB49" s="451">
        <f>Kulud!$E$32</f>
        <v>5000</v>
      </c>
      <c r="AC49" s="451">
        <f>Kulud!$E$32</f>
        <v>5000</v>
      </c>
      <c r="AD49" s="452">
        <f>Kulud!$E$32</f>
        <v>5000</v>
      </c>
      <c r="AE49" s="504"/>
      <c r="AF49" s="505"/>
      <c r="AG49" s="505"/>
      <c r="AH49" s="505"/>
      <c r="AI49" s="506"/>
      <c r="AJ49" s="455"/>
      <c r="AK49" s="497"/>
      <c r="AL49" s="457"/>
    </row>
    <row r="50" spans="1:38" s="507" customFormat="1" ht="16.5" customHeight="1" x14ac:dyDescent="0.25">
      <c r="A50" s="498" t="s">
        <v>373</v>
      </c>
      <c r="B50" s="503"/>
      <c r="C50" s="447"/>
      <c r="D50" s="448"/>
      <c r="E50" s="449"/>
      <c r="F50" s="450">
        <f>SUM(F51:F54)</f>
        <v>15600</v>
      </c>
      <c r="G50" s="451">
        <f t="shared" ref="G50:AD50" si="18">SUM(G51:G54)</f>
        <v>15600</v>
      </c>
      <c r="H50" s="451">
        <f t="shared" si="18"/>
        <v>15600</v>
      </c>
      <c r="I50" s="451">
        <f t="shared" si="18"/>
        <v>15600</v>
      </c>
      <c r="J50" s="451">
        <f t="shared" si="18"/>
        <v>15600</v>
      </c>
      <c r="K50" s="451">
        <f t="shared" si="18"/>
        <v>15600</v>
      </c>
      <c r="L50" s="451">
        <f t="shared" si="18"/>
        <v>15600</v>
      </c>
      <c r="M50" s="451">
        <f t="shared" si="18"/>
        <v>15600</v>
      </c>
      <c r="N50" s="451">
        <f t="shared" si="18"/>
        <v>15600</v>
      </c>
      <c r="O50" s="451">
        <f t="shared" si="18"/>
        <v>15600</v>
      </c>
      <c r="P50" s="451">
        <f t="shared" si="18"/>
        <v>15600</v>
      </c>
      <c r="Q50" s="451">
        <f t="shared" si="18"/>
        <v>15600</v>
      </c>
      <c r="R50" s="451">
        <f t="shared" si="18"/>
        <v>15600</v>
      </c>
      <c r="S50" s="451">
        <f t="shared" si="18"/>
        <v>15600</v>
      </c>
      <c r="T50" s="451">
        <f t="shared" si="18"/>
        <v>15600</v>
      </c>
      <c r="U50" s="451">
        <f t="shared" si="18"/>
        <v>15600</v>
      </c>
      <c r="V50" s="451">
        <f t="shared" si="18"/>
        <v>15600</v>
      </c>
      <c r="W50" s="451">
        <f t="shared" si="18"/>
        <v>15600</v>
      </c>
      <c r="X50" s="451">
        <f t="shared" si="18"/>
        <v>15600</v>
      </c>
      <c r="Y50" s="451">
        <f t="shared" si="18"/>
        <v>15600</v>
      </c>
      <c r="Z50" s="451">
        <f t="shared" si="18"/>
        <v>15600</v>
      </c>
      <c r="AA50" s="451">
        <f t="shared" si="18"/>
        <v>15600</v>
      </c>
      <c r="AB50" s="451">
        <f t="shared" si="18"/>
        <v>15600</v>
      </c>
      <c r="AC50" s="451">
        <f t="shared" si="18"/>
        <v>15600</v>
      </c>
      <c r="AD50" s="452">
        <f t="shared" si="18"/>
        <v>15600</v>
      </c>
      <c r="AE50" s="504"/>
      <c r="AF50" s="505"/>
      <c r="AG50" s="505"/>
      <c r="AH50" s="505"/>
      <c r="AI50" s="506"/>
      <c r="AJ50" s="455"/>
      <c r="AK50" s="497"/>
      <c r="AL50" s="457"/>
    </row>
    <row r="51" spans="1:38" s="507" customFormat="1" ht="16.5" customHeight="1" x14ac:dyDescent="0.25">
      <c r="A51" s="502" t="s">
        <v>374</v>
      </c>
      <c r="B51" s="503"/>
      <c r="C51" s="447" t="s">
        <v>372</v>
      </c>
      <c r="D51" s="448"/>
      <c r="E51" s="449"/>
      <c r="F51" s="450">
        <f>Kulud!$E$34</f>
        <v>13200</v>
      </c>
      <c r="G51" s="451">
        <f>Kulud!$E$34</f>
        <v>13200</v>
      </c>
      <c r="H51" s="451">
        <f>Kulud!$E$34</f>
        <v>13200</v>
      </c>
      <c r="I51" s="451">
        <f>Kulud!$E$34</f>
        <v>13200</v>
      </c>
      <c r="J51" s="451">
        <f>Kulud!$E$34</f>
        <v>13200</v>
      </c>
      <c r="K51" s="451">
        <f>Kulud!$E$34</f>
        <v>13200</v>
      </c>
      <c r="L51" s="451">
        <f>Kulud!$E$34</f>
        <v>13200</v>
      </c>
      <c r="M51" s="451">
        <f>Kulud!$E$34</f>
        <v>13200</v>
      </c>
      <c r="N51" s="451">
        <f>Kulud!$E$34</f>
        <v>13200</v>
      </c>
      <c r="O51" s="451">
        <f>Kulud!$E$34</f>
        <v>13200</v>
      </c>
      <c r="P51" s="451">
        <f>Kulud!$E$34</f>
        <v>13200</v>
      </c>
      <c r="Q51" s="451">
        <f>Kulud!$E$34</f>
        <v>13200</v>
      </c>
      <c r="R51" s="451">
        <f>Kulud!$E$34</f>
        <v>13200</v>
      </c>
      <c r="S51" s="451">
        <f>Kulud!$E$34</f>
        <v>13200</v>
      </c>
      <c r="T51" s="451">
        <f>Kulud!$E$34</f>
        <v>13200</v>
      </c>
      <c r="U51" s="451">
        <f>Kulud!$E$34</f>
        <v>13200</v>
      </c>
      <c r="V51" s="451">
        <f>Kulud!$E$34</f>
        <v>13200</v>
      </c>
      <c r="W51" s="451">
        <f>Kulud!$E$34</f>
        <v>13200</v>
      </c>
      <c r="X51" s="451">
        <f>Kulud!$E$34</f>
        <v>13200</v>
      </c>
      <c r="Y51" s="451">
        <f>Kulud!$E$34</f>
        <v>13200</v>
      </c>
      <c r="Z51" s="451">
        <f>Kulud!$E$34</f>
        <v>13200</v>
      </c>
      <c r="AA51" s="451">
        <f>Kulud!$E$34</f>
        <v>13200</v>
      </c>
      <c r="AB51" s="451">
        <f>Kulud!$E$34</f>
        <v>13200</v>
      </c>
      <c r="AC51" s="451">
        <f>Kulud!$E$34</f>
        <v>13200</v>
      </c>
      <c r="AD51" s="452">
        <f>Kulud!$E$34</f>
        <v>13200</v>
      </c>
      <c r="AE51" s="504"/>
      <c r="AF51" s="505"/>
      <c r="AG51" s="505"/>
      <c r="AH51" s="505"/>
      <c r="AI51" s="506"/>
      <c r="AJ51" s="455"/>
      <c r="AK51" s="497"/>
      <c r="AL51" s="457"/>
    </row>
    <row r="52" spans="1:38" s="507" customFormat="1" ht="27" customHeight="1" x14ac:dyDescent="0.25">
      <c r="A52" s="502" t="s">
        <v>375</v>
      </c>
      <c r="B52" s="503"/>
      <c r="C52" s="447" t="s">
        <v>372</v>
      </c>
      <c r="D52" s="448"/>
      <c r="E52" s="449"/>
      <c r="F52" s="450">
        <f>Kulud!$E$35</f>
        <v>2400</v>
      </c>
      <c r="G52" s="451">
        <f>Kulud!$E$35</f>
        <v>2400</v>
      </c>
      <c r="H52" s="451">
        <f>Kulud!$E$35</f>
        <v>2400</v>
      </c>
      <c r="I52" s="451">
        <f>Kulud!$E$35</f>
        <v>2400</v>
      </c>
      <c r="J52" s="451">
        <f>Kulud!$E$35</f>
        <v>2400</v>
      </c>
      <c r="K52" s="451">
        <f>Kulud!$E$35</f>
        <v>2400</v>
      </c>
      <c r="L52" s="451">
        <f>Kulud!$E$35</f>
        <v>2400</v>
      </c>
      <c r="M52" s="451">
        <f>Kulud!$E$35</f>
        <v>2400</v>
      </c>
      <c r="N52" s="451">
        <f>Kulud!$E$35</f>
        <v>2400</v>
      </c>
      <c r="O52" s="451">
        <f>Kulud!$E$35</f>
        <v>2400</v>
      </c>
      <c r="P52" s="451">
        <f>Kulud!$E$35</f>
        <v>2400</v>
      </c>
      <c r="Q52" s="451">
        <f>Kulud!$E$35</f>
        <v>2400</v>
      </c>
      <c r="R52" s="451">
        <f>Kulud!$E$35</f>
        <v>2400</v>
      </c>
      <c r="S52" s="451">
        <f>Kulud!$E$35</f>
        <v>2400</v>
      </c>
      <c r="T52" s="451">
        <f>Kulud!$E$35</f>
        <v>2400</v>
      </c>
      <c r="U52" s="451">
        <f>Kulud!$E$35</f>
        <v>2400</v>
      </c>
      <c r="V52" s="451">
        <f>Kulud!$E$35</f>
        <v>2400</v>
      </c>
      <c r="W52" s="451">
        <f>Kulud!$E$35</f>
        <v>2400</v>
      </c>
      <c r="X52" s="451">
        <f>Kulud!$E$35</f>
        <v>2400</v>
      </c>
      <c r="Y52" s="451">
        <f>Kulud!$E$35</f>
        <v>2400</v>
      </c>
      <c r="Z52" s="451">
        <f>Kulud!$E$35</f>
        <v>2400</v>
      </c>
      <c r="AA52" s="451">
        <f>Kulud!$E$35</f>
        <v>2400</v>
      </c>
      <c r="AB52" s="451">
        <f>Kulud!$E$35</f>
        <v>2400</v>
      </c>
      <c r="AC52" s="451">
        <f>Kulud!$E$35</f>
        <v>2400</v>
      </c>
      <c r="AD52" s="452">
        <f>Kulud!$E$35</f>
        <v>2400</v>
      </c>
      <c r="AE52" s="504"/>
      <c r="AF52" s="505"/>
      <c r="AG52" s="505"/>
      <c r="AH52" s="505"/>
      <c r="AI52" s="506"/>
      <c r="AJ52" s="455"/>
      <c r="AK52" s="497"/>
      <c r="AL52" s="457"/>
    </row>
    <row r="53" spans="1:38" s="507" customFormat="1" ht="16.5" hidden="1" customHeight="1" x14ac:dyDescent="0.25">
      <c r="A53" s="502"/>
      <c r="B53" s="503"/>
      <c r="C53" s="447"/>
      <c r="D53" s="448"/>
      <c r="E53" s="449"/>
      <c r="F53" s="450"/>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2"/>
      <c r="AE53" s="504"/>
      <c r="AF53" s="505"/>
      <c r="AG53" s="505"/>
      <c r="AH53" s="505"/>
      <c r="AI53" s="506"/>
      <c r="AJ53" s="455"/>
      <c r="AK53" s="497"/>
      <c r="AL53" s="457"/>
    </row>
    <row r="54" spans="1:38" s="507" customFormat="1" ht="15.75" hidden="1" customHeight="1" x14ac:dyDescent="0.25">
      <c r="A54" s="502"/>
      <c r="B54" s="503"/>
      <c r="C54" s="447"/>
      <c r="D54" s="448"/>
      <c r="E54" s="449"/>
      <c r="F54" s="450"/>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2"/>
      <c r="AE54" s="504"/>
      <c r="AF54" s="505"/>
      <c r="AG54" s="505"/>
      <c r="AH54" s="505"/>
      <c r="AI54" s="506"/>
      <c r="AJ54" s="455"/>
      <c r="AK54" s="497"/>
      <c r="AL54" s="457"/>
    </row>
    <row r="55" spans="1:38" s="507" customFormat="1" ht="15.75" customHeight="1" x14ac:dyDescent="0.25">
      <c r="A55" s="498" t="s">
        <v>34</v>
      </c>
      <c r="B55" s="503"/>
      <c r="C55" s="447"/>
      <c r="D55" s="448"/>
      <c r="E55" s="449"/>
      <c r="F55" s="450">
        <f>SUM(F56:F61)</f>
        <v>13920</v>
      </c>
      <c r="G55" s="451">
        <f t="shared" ref="G55:AD55" si="19">SUM(G56:G61)</f>
        <v>13920</v>
      </c>
      <c r="H55" s="451">
        <f t="shared" si="19"/>
        <v>13920</v>
      </c>
      <c r="I55" s="451">
        <f t="shared" si="19"/>
        <v>13920</v>
      </c>
      <c r="J55" s="451">
        <f t="shared" si="19"/>
        <v>13920</v>
      </c>
      <c r="K55" s="451">
        <f t="shared" si="19"/>
        <v>13920</v>
      </c>
      <c r="L55" s="451">
        <f t="shared" si="19"/>
        <v>13920</v>
      </c>
      <c r="M55" s="451">
        <f t="shared" si="19"/>
        <v>13920</v>
      </c>
      <c r="N55" s="451">
        <f t="shared" si="19"/>
        <v>13920</v>
      </c>
      <c r="O55" s="451">
        <f t="shared" si="19"/>
        <v>13920</v>
      </c>
      <c r="P55" s="451">
        <f t="shared" si="19"/>
        <v>13920</v>
      </c>
      <c r="Q55" s="451">
        <f t="shared" si="19"/>
        <v>13920</v>
      </c>
      <c r="R55" s="451">
        <f t="shared" si="19"/>
        <v>13920</v>
      </c>
      <c r="S55" s="451">
        <f t="shared" si="19"/>
        <v>13920</v>
      </c>
      <c r="T55" s="451">
        <f t="shared" si="19"/>
        <v>13920</v>
      </c>
      <c r="U55" s="451">
        <f t="shared" si="19"/>
        <v>13920</v>
      </c>
      <c r="V55" s="451">
        <f t="shared" si="19"/>
        <v>13920</v>
      </c>
      <c r="W55" s="451">
        <f t="shared" si="19"/>
        <v>13920</v>
      </c>
      <c r="X55" s="451">
        <f t="shared" si="19"/>
        <v>13920</v>
      </c>
      <c r="Y55" s="451">
        <f t="shared" si="19"/>
        <v>13920</v>
      </c>
      <c r="Z55" s="451">
        <f t="shared" si="19"/>
        <v>13920</v>
      </c>
      <c r="AA55" s="451">
        <f t="shared" si="19"/>
        <v>13920</v>
      </c>
      <c r="AB55" s="451">
        <f t="shared" si="19"/>
        <v>13920</v>
      </c>
      <c r="AC55" s="451">
        <f t="shared" si="19"/>
        <v>13920</v>
      </c>
      <c r="AD55" s="452">
        <f t="shared" si="19"/>
        <v>13920</v>
      </c>
      <c r="AE55" s="504"/>
      <c r="AF55" s="505"/>
      <c r="AG55" s="505"/>
      <c r="AH55" s="505"/>
      <c r="AI55" s="506"/>
      <c r="AJ55" s="455"/>
      <c r="AK55" s="497"/>
      <c r="AL55" s="457"/>
    </row>
    <row r="56" spans="1:38" s="507" customFormat="1" ht="15.75" customHeight="1" x14ac:dyDescent="0.25">
      <c r="A56" s="502" t="s">
        <v>376</v>
      </c>
      <c r="B56" s="503"/>
      <c r="C56" s="447" t="s">
        <v>372</v>
      </c>
      <c r="D56" s="448"/>
      <c r="E56" s="449"/>
      <c r="F56" s="450">
        <f>Kulud!E38</f>
        <v>13920</v>
      </c>
      <c r="G56" s="451">
        <f>Kulud!$E$38</f>
        <v>13920</v>
      </c>
      <c r="H56" s="451">
        <f>Kulud!$E$38</f>
        <v>13920</v>
      </c>
      <c r="I56" s="451">
        <f>Kulud!$E$38</f>
        <v>13920</v>
      </c>
      <c r="J56" s="451">
        <f>Kulud!$E$38</f>
        <v>13920</v>
      </c>
      <c r="K56" s="451">
        <f>Kulud!$E$38</f>
        <v>13920</v>
      </c>
      <c r="L56" s="451">
        <f>Kulud!$E$38</f>
        <v>13920</v>
      </c>
      <c r="M56" s="451">
        <f>Kulud!$E$38</f>
        <v>13920</v>
      </c>
      <c r="N56" s="451">
        <f>Kulud!$E$38</f>
        <v>13920</v>
      </c>
      <c r="O56" s="451">
        <f>Kulud!$E$38</f>
        <v>13920</v>
      </c>
      <c r="P56" s="451">
        <f>Kulud!$E$38</f>
        <v>13920</v>
      </c>
      <c r="Q56" s="451">
        <f>Kulud!$E$38</f>
        <v>13920</v>
      </c>
      <c r="R56" s="451">
        <f>Kulud!$E$38</f>
        <v>13920</v>
      </c>
      <c r="S56" s="451">
        <f>Kulud!$E$38</f>
        <v>13920</v>
      </c>
      <c r="T56" s="451">
        <f>Kulud!$E$38</f>
        <v>13920</v>
      </c>
      <c r="U56" s="451">
        <f>Kulud!$E$38</f>
        <v>13920</v>
      </c>
      <c r="V56" s="451">
        <f>Kulud!$E$38</f>
        <v>13920</v>
      </c>
      <c r="W56" s="451">
        <f>Kulud!$E$38</f>
        <v>13920</v>
      </c>
      <c r="X56" s="451">
        <f>Kulud!$E$38</f>
        <v>13920</v>
      </c>
      <c r="Y56" s="451">
        <f>Kulud!$E$38</f>
        <v>13920</v>
      </c>
      <c r="Z56" s="451">
        <f>Kulud!$E$38</f>
        <v>13920</v>
      </c>
      <c r="AA56" s="451">
        <f>Kulud!$E$38</f>
        <v>13920</v>
      </c>
      <c r="AB56" s="451">
        <f>Kulud!$E$38</f>
        <v>13920</v>
      </c>
      <c r="AC56" s="451">
        <f>Kulud!$E$38</f>
        <v>13920</v>
      </c>
      <c r="AD56" s="452">
        <f>Kulud!$E$38</f>
        <v>13920</v>
      </c>
      <c r="AE56" s="504"/>
      <c r="AF56" s="505"/>
      <c r="AG56" s="505"/>
      <c r="AH56" s="505"/>
      <c r="AI56" s="506"/>
      <c r="AJ56" s="455"/>
      <c r="AK56" s="497"/>
      <c r="AL56" s="457"/>
    </row>
    <row r="57" spans="1:38" s="507" customFormat="1" ht="15.75" hidden="1" customHeight="1" x14ac:dyDescent="0.25">
      <c r="A57" s="502"/>
      <c r="B57" s="503"/>
      <c r="C57" s="447" t="s">
        <v>372</v>
      </c>
      <c r="D57" s="448"/>
      <c r="E57" s="449"/>
      <c r="F57" s="450"/>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2"/>
      <c r="AE57" s="504"/>
      <c r="AF57" s="505"/>
      <c r="AG57" s="505"/>
      <c r="AH57" s="505"/>
      <c r="AI57" s="506"/>
      <c r="AJ57" s="455"/>
      <c r="AK57" s="497"/>
      <c r="AL57" s="457"/>
    </row>
    <row r="58" spans="1:38" s="507" customFormat="1" ht="15.75" hidden="1" customHeight="1" x14ac:dyDescent="0.25">
      <c r="A58" s="502"/>
      <c r="B58" s="503"/>
      <c r="C58" s="447" t="s">
        <v>372</v>
      </c>
      <c r="D58" s="448"/>
      <c r="E58" s="449"/>
      <c r="F58" s="450"/>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2"/>
      <c r="AE58" s="504"/>
      <c r="AF58" s="505"/>
      <c r="AG58" s="505"/>
      <c r="AH58" s="505"/>
      <c r="AI58" s="506"/>
      <c r="AJ58" s="455"/>
      <c r="AK58" s="497"/>
      <c r="AL58" s="457"/>
    </row>
    <row r="59" spans="1:38" s="507" customFormat="1" ht="15.75" hidden="1" customHeight="1" x14ac:dyDescent="0.25">
      <c r="A59" s="502"/>
      <c r="B59" s="503"/>
      <c r="C59" s="447" t="s">
        <v>372</v>
      </c>
      <c r="D59" s="448"/>
      <c r="E59" s="449"/>
      <c r="F59" s="450"/>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2"/>
      <c r="AE59" s="504"/>
      <c r="AF59" s="505"/>
      <c r="AG59" s="505"/>
      <c r="AH59" s="505"/>
      <c r="AI59" s="506"/>
      <c r="AJ59" s="455"/>
      <c r="AK59" s="497"/>
      <c r="AL59" s="457"/>
    </row>
    <row r="60" spans="1:38" s="507" customFormat="1" ht="15.75" hidden="1" customHeight="1" x14ac:dyDescent="0.25">
      <c r="A60" s="502"/>
      <c r="B60" s="503"/>
      <c r="C60" s="447" t="s">
        <v>372</v>
      </c>
      <c r="D60" s="448"/>
      <c r="E60" s="449"/>
      <c r="F60" s="450"/>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2"/>
      <c r="AE60" s="504"/>
      <c r="AF60" s="505"/>
      <c r="AG60" s="505"/>
      <c r="AH60" s="505"/>
      <c r="AI60" s="506"/>
      <c r="AJ60" s="455"/>
      <c r="AK60" s="497"/>
      <c r="AL60" s="457"/>
    </row>
    <row r="61" spans="1:38" s="507" customFormat="1" ht="15.75" hidden="1" customHeight="1" x14ac:dyDescent="0.25">
      <c r="A61" s="502"/>
      <c r="B61" s="503"/>
      <c r="C61" s="447" t="s">
        <v>372</v>
      </c>
      <c r="D61" s="448"/>
      <c r="E61" s="449"/>
      <c r="F61" s="450"/>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2"/>
      <c r="AE61" s="504"/>
      <c r="AF61" s="505"/>
      <c r="AG61" s="505"/>
      <c r="AH61" s="505"/>
      <c r="AI61" s="506"/>
      <c r="AJ61" s="455"/>
      <c r="AK61" s="497"/>
      <c r="AL61" s="457"/>
    </row>
    <row r="62" spans="1:38" s="507" customFormat="1" ht="16.5" customHeight="1" x14ac:dyDescent="0.25">
      <c r="A62" s="498" t="s">
        <v>377</v>
      </c>
      <c r="B62" s="503"/>
      <c r="C62" s="447" t="s">
        <v>372</v>
      </c>
      <c r="D62" s="448"/>
      <c r="E62" s="449"/>
      <c r="F62" s="450">
        <f>SUM(F63:F66)</f>
        <v>9120</v>
      </c>
      <c r="G62" s="451">
        <f t="shared" ref="G62:AD62" si="20">SUM(G63:G66)</f>
        <v>9120</v>
      </c>
      <c r="H62" s="451">
        <f t="shared" si="20"/>
        <v>9120</v>
      </c>
      <c r="I62" s="451">
        <f t="shared" si="20"/>
        <v>9120</v>
      </c>
      <c r="J62" s="451">
        <f t="shared" si="20"/>
        <v>9120</v>
      </c>
      <c r="K62" s="451">
        <f t="shared" si="20"/>
        <v>9120</v>
      </c>
      <c r="L62" s="451">
        <f t="shared" si="20"/>
        <v>9120</v>
      </c>
      <c r="M62" s="451">
        <f t="shared" si="20"/>
        <v>9120</v>
      </c>
      <c r="N62" s="451">
        <f t="shared" si="20"/>
        <v>9120</v>
      </c>
      <c r="O62" s="451">
        <f t="shared" si="20"/>
        <v>9120</v>
      </c>
      <c r="P62" s="451">
        <f t="shared" si="20"/>
        <v>9120</v>
      </c>
      <c r="Q62" s="451">
        <f t="shared" si="20"/>
        <v>9120</v>
      </c>
      <c r="R62" s="451">
        <f t="shared" si="20"/>
        <v>9120</v>
      </c>
      <c r="S62" s="451">
        <f t="shared" si="20"/>
        <v>9120</v>
      </c>
      <c r="T62" s="451">
        <f t="shared" si="20"/>
        <v>9120</v>
      </c>
      <c r="U62" s="451">
        <f t="shared" si="20"/>
        <v>9120</v>
      </c>
      <c r="V62" s="451">
        <f t="shared" si="20"/>
        <v>9120</v>
      </c>
      <c r="W62" s="451">
        <f t="shared" si="20"/>
        <v>9120</v>
      </c>
      <c r="X62" s="451">
        <f t="shared" si="20"/>
        <v>9120</v>
      </c>
      <c r="Y62" s="451">
        <f t="shared" si="20"/>
        <v>9120</v>
      </c>
      <c r="Z62" s="451">
        <f t="shared" si="20"/>
        <v>9120</v>
      </c>
      <c r="AA62" s="451">
        <f t="shared" si="20"/>
        <v>9120</v>
      </c>
      <c r="AB62" s="451">
        <f t="shared" si="20"/>
        <v>9120</v>
      </c>
      <c r="AC62" s="451">
        <f t="shared" si="20"/>
        <v>9120</v>
      </c>
      <c r="AD62" s="452">
        <f t="shared" si="20"/>
        <v>9120</v>
      </c>
      <c r="AE62" s="504"/>
      <c r="AF62" s="505"/>
      <c r="AG62" s="505"/>
      <c r="AH62" s="505"/>
      <c r="AI62" s="506"/>
      <c r="AJ62" s="455"/>
      <c r="AK62" s="497"/>
      <c r="AL62" s="457"/>
    </row>
    <row r="63" spans="1:38" s="507" customFormat="1" ht="16.5" customHeight="1" x14ac:dyDescent="0.25">
      <c r="A63" s="502" t="s">
        <v>378</v>
      </c>
      <c r="B63" s="503"/>
      <c r="C63" s="447" t="s">
        <v>372</v>
      </c>
      <c r="D63" s="448"/>
      <c r="E63" s="449"/>
      <c r="F63" s="450">
        <f>Kulud!$E$46</f>
        <v>8400</v>
      </c>
      <c r="G63" s="451">
        <f>Kulud!$E$46</f>
        <v>8400</v>
      </c>
      <c r="H63" s="451">
        <f>Kulud!$E$46</f>
        <v>8400</v>
      </c>
      <c r="I63" s="451">
        <f>Kulud!$E$46</f>
        <v>8400</v>
      </c>
      <c r="J63" s="451">
        <f>Kulud!$E$46</f>
        <v>8400</v>
      </c>
      <c r="K63" s="451">
        <f>Kulud!$E$46</f>
        <v>8400</v>
      </c>
      <c r="L63" s="451">
        <f>Kulud!$E$46</f>
        <v>8400</v>
      </c>
      <c r="M63" s="451">
        <f>Kulud!$E$46</f>
        <v>8400</v>
      </c>
      <c r="N63" s="451">
        <f>Kulud!$E$46</f>
        <v>8400</v>
      </c>
      <c r="O63" s="451">
        <f>Kulud!$E$46</f>
        <v>8400</v>
      </c>
      <c r="P63" s="451">
        <f>Kulud!$E$46</f>
        <v>8400</v>
      </c>
      <c r="Q63" s="451">
        <f>Kulud!$E$46</f>
        <v>8400</v>
      </c>
      <c r="R63" s="451">
        <f>Kulud!$E$46</f>
        <v>8400</v>
      </c>
      <c r="S63" s="451">
        <f>Kulud!$E$46</f>
        <v>8400</v>
      </c>
      <c r="T63" s="451">
        <f>Kulud!$E$46</f>
        <v>8400</v>
      </c>
      <c r="U63" s="451">
        <f>Kulud!$E$46</f>
        <v>8400</v>
      </c>
      <c r="V63" s="451">
        <f>Kulud!$E$46</f>
        <v>8400</v>
      </c>
      <c r="W63" s="451">
        <f>Kulud!$E$46</f>
        <v>8400</v>
      </c>
      <c r="X63" s="451">
        <f>Kulud!$E$46</f>
        <v>8400</v>
      </c>
      <c r="Y63" s="451">
        <f>Kulud!$E$46</f>
        <v>8400</v>
      </c>
      <c r="Z63" s="451">
        <f>Kulud!$E$46</f>
        <v>8400</v>
      </c>
      <c r="AA63" s="451">
        <f>Kulud!$E$46</f>
        <v>8400</v>
      </c>
      <c r="AB63" s="451">
        <f>Kulud!$E$46</f>
        <v>8400</v>
      </c>
      <c r="AC63" s="451">
        <f>Kulud!$E$46</f>
        <v>8400</v>
      </c>
      <c r="AD63" s="452">
        <f>Kulud!$E$46</f>
        <v>8400</v>
      </c>
      <c r="AE63" s="504"/>
      <c r="AF63" s="505"/>
      <c r="AG63" s="505"/>
      <c r="AH63" s="505"/>
      <c r="AI63" s="506"/>
      <c r="AJ63" s="455"/>
      <c r="AK63" s="497"/>
      <c r="AL63" s="457"/>
    </row>
    <row r="64" spans="1:38" s="507" customFormat="1" ht="16.5" customHeight="1" x14ac:dyDescent="0.25">
      <c r="A64" s="502" t="s">
        <v>379</v>
      </c>
      <c r="B64" s="503"/>
      <c r="C64" s="447" t="s">
        <v>372</v>
      </c>
      <c r="D64" s="448"/>
      <c r="E64" s="449"/>
      <c r="F64" s="450">
        <f>Kulud!$E$47</f>
        <v>720</v>
      </c>
      <c r="G64" s="451">
        <f>Kulud!$E$47</f>
        <v>720</v>
      </c>
      <c r="H64" s="451">
        <f>Kulud!$E$47</f>
        <v>720</v>
      </c>
      <c r="I64" s="451">
        <f>Kulud!$E$47</f>
        <v>720</v>
      </c>
      <c r="J64" s="451">
        <f>Kulud!$E$47</f>
        <v>720</v>
      </c>
      <c r="K64" s="451">
        <f>Kulud!$E$47</f>
        <v>720</v>
      </c>
      <c r="L64" s="451">
        <f>Kulud!$E$47</f>
        <v>720</v>
      </c>
      <c r="M64" s="451">
        <f>Kulud!$E$47</f>
        <v>720</v>
      </c>
      <c r="N64" s="451">
        <f>Kulud!$E$47</f>
        <v>720</v>
      </c>
      <c r="O64" s="451">
        <f>Kulud!$E$47</f>
        <v>720</v>
      </c>
      <c r="P64" s="451">
        <f>Kulud!$E$47</f>
        <v>720</v>
      </c>
      <c r="Q64" s="451">
        <f>Kulud!$E$47</f>
        <v>720</v>
      </c>
      <c r="R64" s="451">
        <f>Kulud!$E$47</f>
        <v>720</v>
      </c>
      <c r="S64" s="451">
        <f>Kulud!$E$47</f>
        <v>720</v>
      </c>
      <c r="T64" s="451">
        <f>Kulud!$E$47</f>
        <v>720</v>
      </c>
      <c r="U64" s="451">
        <f>Kulud!$E$47</f>
        <v>720</v>
      </c>
      <c r="V64" s="451">
        <f>Kulud!$E$47</f>
        <v>720</v>
      </c>
      <c r="W64" s="451">
        <f>Kulud!$E$47</f>
        <v>720</v>
      </c>
      <c r="X64" s="451">
        <f>Kulud!$E$47</f>
        <v>720</v>
      </c>
      <c r="Y64" s="451">
        <f>Kulud!$E$47</f>
        <v>720</v>
      </c>
      <c r="Z64" s="451">
        <f>Kulud!$E$47</f>
        <v>720</v>
      </c>
      <c r="AA64" s="451">
        <f>Kulud!$E$47</f>
        <v>720</v>
      </c>
      <c r="AB64" s="451">
        <f>Kulud!$E$47</f>
        <v>720</v>
      </c>
      <c r="AC64" s="451">
        <f>Kulud!$E$47</f>
        <v>720</v>
      </c>
      <c r="AD64" s="452">
        <f>Kulud!$E$47</f>
        <v>720</v>
      </c>
      <c r="AE64" s="504"/>
      <c r="AF64" s="505"/>
      <c r="AG64" s="505"/>
      <c r="AH64" s="505"/>
      <c r="AI64" s="506"/>
      <c r="AJ64" s="455"/>
      <c r="AK64" s="497"/>
      <c r="AL64" s="457"/>
    </row>
    <row r="65" spans="1:38" s="507" customFormat="1" ht="16.5" hidden="1" customHeight="1" x14ac:dyDescent="0.25">
      <c r="A65" s="502"/>
      <c r="B65" s="503"/>
      <c r="C65" s="447" t="s">
        <v>372</v>
      </c>
      <c r="D65" s="448"/>
      <c r="E65" s="449"/>
      <c r="F65" s="450"/>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2"/>
      <c r="AE65" s="504"/>
      <c r="AF65" s="505"/>
      <c r="AG65" s="505"/>
      <c r="AH65" s="505"/>
      <c r="AI65" s="506"/>
      <c r="AJ65" s="455"/>
      <c r="AK65" s="497"/>
      <c r="AL65" s="457"/>
    </row>
    <row r="66" spans="1:38" s="507" customFormat="1" ht="16.5" hidden="1" customHeight="1" x14ac:dyDescent="0.25">
      <c r="A66" s="502"/>
      <c r="B66" s="503"/>
      <c r="C66" s="447" t="s">
        <v>372</v>
      </c>
      <c r="D66" s="448"/>
      <c r="E66" s="449"/>
      <c r="F66" s="450"/>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2"/>
      <c r="AE66" s="504"/>
      <c r="AF66" s="505"/>
      <c r="AG66" s="505"/>
      <c r="AH66" s="505"/>
      <c r="AI66" s="506"/>
      <c r="AJ66" s="455"/>
      <c r="AK66" s="497"/>
      <c r="AL66" s="457"/>
    </row>
    <row r="67" spans="1:38" s="507" customFormat="1" ht="16.5" customHeight="1" x14ac:dyDescent="0.25">
      <c r="A67" s="498" t="s">
        <v>380</v>
      </c>
      <c r="B67" s="503"/>
      <c r="C67" s="447" t="s">
        <v>372</v>
      </c>
      <c r="D67" s="448"/>
      <c r="E67" s="449"/>
      <c r="F67" s="450">
        <f>SUM(F68:F72)</f>
        <v>19460</v>
      </c>
      <c r="G67" s="451">
        <f t="shared" ref="G67:AD67" si="21">SUM(G68:G72)</f>
        <v>19460</v>
      </c>
      <c r="H67" s="451">
        <f t="shared" si="21"/>
        <v>19460</v>
      </c>
      <c r="I67" s="451">
        <f t="shared" si="21"/>
        <v>19460</v>
      </c>
      <c r="J67" s="451">
        <f t="shared" si="21"/>
        <v>19460</v>
      </c>
      <c r="K67" s="451">
        <f t="shared" si="21"/>
        <v>19460</v>
      </c>
      <c r="L67" s="451">
        <f t="shared" si="21"/>
        <v>19460</v>
      </c>
      <c r="M67" s="451">
        <f t="shared" si="21"/>
        <v>19460</v>
      </c>
      <c r="N67" s="451">
        <f t="shared" si="21"/>
        <v>19460</v>
      </c>
      <c r="O67" s="451">
        <f t="shared" si="21"/>
        <v>19460</v>
      </c>
      <c r="P67" s="451">
        <f t="shared" si="21"/>
        <v>19460</v>
      </c>
      <c r="Q67" s="451">
        <f t="shared" si="21"/>
        <v>19460</v>
      </c>
      <c r="R67" s="451">
        <f t="shared" si="21"/>
        <v>19460</v>
      </c>
      <c r="S67" s="451">
        <f t="shared" si="21"/>
        <v>19460</v>
      </c>
      <c r="T67" s="451">
        <f t="shared" si="21"/>
        <v>19460</v>
      </c>
      <c r="U67" s="451">
        <f t="shared" si="21"/>
        <v>19460</v>
      </c>
      <c r="V67" s="451">
        <f t="shared" si="21"/>
        <v>19460</v>
      </c>
      <c r="W67" s="451">
        <f t="shared" si="21"/>
        <v>19460</v>
      </c>
      <c r="X67" s="451">
        <f t="shared" si="21"/>
        <v>19460</v>
      </c>
      <c r="Y67" s="451">
        <f t="shared" si="21"/>
        <v>19460</v>
      </c>
      <c r="Z67" s="451">
        <f t="shared" si="21"/>
        <v>19460</v>
      </c>
      <c r="AA67" s="451">
        <f t="shared" si="21"/>
        <v>19460</v>
      </c>
      <c r="AB67" s="451">
        <f t="shared" si="21"/>
        <v>19460</v>
      </c>
      <c r="AC67" s="451">
        <f t="shared" si="21"/>
        <v>19460</v>
      </c>
      <c r="AD67" s="452">
        <f t="shared" si="21"/>
        <v>19460</v>
      </c>
      <c r="AE67" s="504"/>
      <c r="AF67" s="505"/>
      <c r="AG67" s="505"/>
      <c r="AH67" s="505"/>
      <c r="AI67" s="506"/>
      <c r="AJ67" s="455"/>
      <c r="AK67" s="497"/>
      <c r="AL67" s="457"/>
    </row>
    <row r="68" spans="1:38" s="507" customFormat="1" ht="16.5" customHeight="1" x14ac:dyDescent="0.25">
      <c r="A68" s="502" t="s">
        <v>381</v>
      </c>
      <c r="B68" s="503"/>
      <c r="C68" s="447" t="s">
        <v>372</v>
      </c>
      <c r="D68" s="448"/>
      <c r="E68" s="449"/>
      <c r="F68" s="450">
        <f>Kulud!$E$51</f>
        <v>560</v>
      </c>
      <c r="G68" s="451">
        <f>Kulud!$E$51</f>
        <v>560</v>
      </c>
      <c r="H68" s="451">
        <f>Kulud!$E$51</f>
        <v>560</v>
      </c>
      <c r="I68" s="451">
        <f>Kulud!$E$51</f>
        <v>560</v>
      </c>
      <c r="J68" s="451">
        <f>Kulud!$E$51</f>
        <v>560</v>
      </c>
      <c r="K68" s="451">
        <f>Kulud!$E$51</f>
        <v>560</v>
      </c>
      <c r="L68" s="451">
        <f>Kulud!$E$51</f>
        <v>560</v>
      </c>
      <c r="M68" s="451">
        <f>Kulud!$E$51</f>
        <v>560</v>
      </c>
      <c r="N68" s="451">
        <f>Kulud!$E$51</f>
        <v>560</v>
      </c>
      <c r="O68" s="451">
        <f>Kulud!$E$51</f>
        <v>560</v>
      </c>
      <c r="P68" s="451">
        <f>Kulud!$E$51</f>
        <v>560</v>
      </c>
      <c r="Q68" s="451">
        <f>Kulud!$E$51</f>
        <v>560</v>
      </c>
      <c r="R68" s="451">
        <f>Kulud!$E$51</f>
        <v>560</v>
      </c>
      <c r="S68" s="451">
        <f>Kulud!$E$51</f>
        <v>560</v>
      </c>
      <c r="T68" s="451">
        <f>Kulud!$E$51</f>
        <v>560</v>
      </c>
      <c r="U68" s="451">
        <f>Kulud!$E$51</f>
        <v>560</v>
      </c>
      <c r="V68" s="451">
        <f>Kulud!$E$51</f>
        <v>560</v>
      </c>
      <c r="W68" s="451">
        <f>Kulud!$E$51</f>
        <v>560</v>
      </c>
      <c r="X68" s="451">
        <f>Kulud!$E$51</f>
        <v>560</v>
      </c>
      <c r="Y68" s="451">
        <f>Kulud!$E$51</f>
        <v>560</v>
      </c>
      <c r="Z68" s="451">
        <f>Kulud!$E$51</f>
        <v>560</v>
      </c>
      <c r="AA68" s="451">
        <f>Kulud!$E$51</f>
        <v>560</v>
      </c>
      <c r="AB68" s="451">
        <f>Kulud!$E$51</f>
        <v>560</v>
      </c>
      <c r="AC68" s="451">
        <f>Kulud!$E$51</f>
        <v>560</v>
      </c>
      <c r="AD68" s="452">
        <f>Kulud!$E$51</f>
        <v>560</v>
      </c>
      <c r="AE68" s="504"/>
      <c r="AF68" s="505"/>
      <c r="AG68" s="505"/>
      <c r="AH68" s="505"/>
      <c r="AI68" s="506"/>
      <c r="AJ68" s="455"/>
      <c r="AK68" s="497"/>
      <c r="AL68" s="457"/>
    </row>
    <row r="69" spans="1:38" s="507" customFormat="1" ht="16.5" customHeight="1" x14ac:dyDescent="0.25">
      <c r="A69" s="502" t="s">
        <v>382</v>
      </c>
      <c r="B69" s="503"/>
      <c r="C69" s="447" t="s">
        <v>383</v>
      </c>
      <c r="D69" s="448"/>
      <c r="E69" s="449"/>
      <c r="F69" s="450">
        <f>Kulud!$E$52</f>
        <v>1800</v>
      </c>
      <c r="G69" s="451">
        <f>Kulud!$E$52</f>
        <v>1800</v>
      </c>
      <c r="H69" s="451">
        <f>Kulud!$E$52</f>
        <v>1800</v>
      </c>
      <c r="I69" s="451">
        <f>Kulud!$E$52</f>
        <v>1800</v>
      </c>
      <c r="J69" s="451">
        <f>Kulud!$E$52</f>
        <v>1800</v>
      </c>
      <c r="K69" s="451">
        <f>Kulud!$E$52</f>
        <v>1800</v>
      </c>
      <c r="L69" s="451">
        <f>Kulud!$E$52</f>
        <v>1800</v>
      </c>
      <c r="M69" s="451">
        <f>Kulud!$E$52</f>
        <v>1800</v>
      </c>
      <c r="N69" s="451">
        <f>Kulud!$E$52</f>
        <v>1800</v>
      </c>
      <c r="O69" s="451">
        <f>Kulud!$E$52</f>
        <v>1800</v>
      </c>
      <c r="P69" s="451">
        <f>Kulud!$E$52</f>
        <v>1800</v>
      </c>
      <c r="Q69" s="451">
        <f>Kulud!$E$52</f>
        <v>1800</v>
      </c>
      <c r="R69" s="451">
        <f>Kulud!$E$52</f>
        <v>1800</v>
      </c>
      <c r="S69" s="451">
        <f>Kulud!$E$52</f>
        <v>1800</v>
      </c>
      <c r="T69" s="451">
        <f>Kulud!$E$52</f>
        <v>1800</v>
      </c>
      <c r="U69" s="451">
        <f>Kulud!$E$52</f>
        <v>1800</v>
      </c>
      <c r="V69" s="451">
        <f>Kulud!$E$52</f>
        <v>1800</v>
      </c>
      <c r="W69" s="451">
        <f>Kulud!$E$52</f>
        <v>1800</v>
      </c>
      <c r="X69" s="451">
        <f>Kulud!$E$52</f>
        <v>1800</v>
      </c>
      <c r="Y69" s="451">
        <f>Kulud!$E$52</f>
        <v>1800</v>
      </c>
      <c r="Z69" s="451">
        <f>Kulud!$E$52</f>
        <v>1800</v>
      </c>
      <c r="AA69" s="451">
        <f>Kulud!$E$52</f>
        <v>1800</v>
      </c>
      <c r="AB69" s="451">
        <f>Kulud!$E$52</f>
        <v>1800</v>
      </c>
      <c r="AC69" s="451">
        <f>Kulud!$E$52</f>
        <v>1800</v>
      </c>
      <c r="AD69" s="452">
        <f>Kulud!$E$52</f>
        <v>1800</v>
      </c>
      <c r="AE69" s="504"/>
      <c r="AF69" s="505"/>
      <c r="AG69" s="505"/>
      <c r="AH69" s="505"/>
      <c r="AI69" s="506"/>
      <c r="AJ69" s="455"/>
      <c r="AK69" s="497"/>
      <c r="AL69" s="457"/>
    </row>
    <row r="70" spans="1:38" s="507" customFormat="1" ht="16.5" customHeight="1" x14ac:dyDescent="0.25">
      <c r="A70" s="502" t="s">
        <v>384</v>
      </c>
      <c r="B70" s="503"/>
      <c r="C70" s="447" t="s">
        <v>372</v>
      </c>
      <c r="D70" s="448"/>
      <c r="E70" s="449"/>
      <c r="F70" s="450">
        <f>Kulud!$E$53</f>
        <v>1100</v>
      </c>
      <c r="G70" s="451">
        <f>Kulud!$E$53</f>
        <v>1100</v>
      </c>
      <c r="H70" s="451">
        <f>Kulud!$E$53</f>
        <v>1100</v>
      </c>
      <c r="I70" s="451">
        <f>Kulud!$E$53</f>
        <v>1100</v>
      </c>
      <c r="J70" s="451">
        <f>Kulud!$E$53</f>
        <v>1100</v>
      </c>
      <c r="K70" s="451">
        <f>Kulud!$E$53</f>
        <v>1100</v>
      </c>
      <c r="L70" s="451">
        <f>Kulud!$E$53</f>
        <v>1100</v>
      </c>
      <c r="M70" s="451">
        <f>Kulud!$E$53</f>
        <v>1100</v>
      </c>
      <c r="N70" s="451">
        <f>Kulud!$E$53</f>
        <v>1100</v>
      </c>
      <c r="O70" s="451">
        <f>Kulud!$E$53</f>
        <v>1100</v>
      </c>
      <c r="P70" s="451">
        <f>Kulud!$E$53</f>
        <v>1100</v>
      </c>
      <c r="Q70" s="451">
        <f>Kulud!$E$53</f>
        <v>1100</v>
      </c>
      <c r="R70" s="451">
        <f>Kulud!$E$53</f>
        <v>1100</v>
      </c>
      <c r="S70" s="451">
        <f>Kulud!$E$53</f>
        <v>1100</v>
      </c>
      <c r="T70" s="451">
        <f>Kulud!$E$53</f>
        <v>1100</v>
      </c>
      <c r="U70" s="451">
        <f>Kulud!$E$53</f>
        <v>1100</v>
      </c>
      <c r="V70" s="451">
        <f>Kulud!$E$53</f>
        <v>1100</v>
      </c>
      <c r="W70" s="451">
        <f>Kulud!$E$53</f>
        <v>1100</v>
      </c>
      <c r="X70" s="451">
        <f>Kulud!$E$53</f>
        <v>1100</v>
      </c>
      <c r="Y70" s="451">
        <f>Kulud!$E$53</f>
        <v>1100</v>
      </c>
      <c r="Z70" s="451">
        <f>Kulud!$E$53</f>
        <v>1100</v>
      </c>
      <c r="AA70" s="451">
        <f>Kulud!$E$53</f>
        <v>1100</v>
      </c>
      <c r="AB70" s="451">
        <f>Kulud!$E$53</f>
        <v>1100</v>
      </c>
      <c r="AC70" s="451">
        <f>Kulud!$E$53</f>
        <v>1100</v>
      </c>
      <c r="AD70" s="452">
        <f>Kulud!$E$53</f>
        <v>1100</v>
      </c>
      <c r="AE70" s="504"/>
      <c r="AF70" s="505"/>
      <c r="AG70" s="505"/>
      <c r="AH70" s="505"/>
      <c r="AI70" s="506"/>
      <c r="AJ70" s="455"/>
      <c r="AK70" s="497"/>
      <c r="AL70" s="457"/>
    </row>
    <row r="71" spans="1:38" s="507" customFormat="1" ht="16.5" customHeight="1" x14ac:dyDescent="0.25">
      <c r="A71" s="502" t="s">
        <v>385</v>
      </c>
      <c r="B71" s="503"/>
      <c r="C71" s="447" t="s">
        <v>372</v>
      </c>
      <c r="D71" s="448"/>
      <c r="E71" s="449"/>
      <c r="F71" s="450">
        <f>Kulud!$E$54</f>
        <v>16000</v>
      </c>
      <c r="G71" s="451">
        <f>Kulud!$E$54</f>
        <v>16000</v>
      </c>
      <c r="H71" s="451">
        <f>Kulud!$E$54</f>
        <v>16000</v>
      </c>
      <c r="I71" s="451">
        <f>Kulud!$E$54</f>
        <v>16000</v>
      </c>
      <c r="J71" s="451">
        <f>Kulud!$E$54</f>
        <v>16000</v>
      </c>
      <c r="K71" s="451">
        <f>Kulud!$E$54</f>
        <v>16000</v>
      </c>
      <c r="L71" s="451">
        <f>Kulud!$E$54</f>
        <v>16000</v>
      </c>
      <c r="M71" s="451">
        <f>Kulud!$E$54</f>
        <v>16000</v>
      </c>
      <c r="N71" s="451">
        <f>Kulud!$E$54</f>
        <v>16000</v>
      </c>
      <c r="O71" s="451">
        <f>Kulud!$E$54</f>
        <v>16000</v>
      </c>
      <c r="P71" s="451">
        <f>Kulud!$E$54</f>
        <v>16000</v>
      </c>
      <c r="Q71" s="451">
        <f>Kulud!$E$54</f>
        <v>16000</v>
      </c>
      <c r="R71" s="451">
        <f>Kulud!$E$54</f>
        <v>16000</v>
      </c>
      <c r="S71" s="451">
        <f>Kulud!$E$54</f>
        <v>16000</v>
      </c>
      <c r="T71" s="451">
        <f>Kulud!$E$54</f>
        <v>16000</v>
      </c>
      <c r="U71" s="451">
        <f>Kulud!$E$54</f>
        <v>16000</v>
      </c>
      <c r="V71" s="451">
        <f>Kulud!$E$54</f>
        <v>16000</v>
      </c>
      <c r="W71" s="451">
        <f>Kulud!$E$54</f>
        <v>16000</v>
      </c>
      <c r="X71" s="451">
        <f>Kulud!$E$54</f>
        <v>16000</v>
      </c>
      <c r="Y71" s="451">
        <f>Kulud!$E$54</f>
        <v>16000</v>
      </c>
      <c r="Z71" s="451">
        <f>Kulud!$E$54</f>
        <v>16000</v>
      </c>
      <c r="AA71" s="451">
        <f>Kulud!$E$54</f>
        <v>16000</v>
      </c>
      <c r="AB71" s="451">
        <f>Kulud!$E$54</f>
        <v>16000</v>
      </c>
      <c r="AC71" s="451">
        <f>Kulud!$E$54</f>
        <v>16000</v>
      </c>
      <c r="AD71" s="452">
        <f>Kulud!$E$54</f>
        <v>16000</v>
      </c>
      <c r="AE71" s="504"/>
      <c r="AF71" s="505"/>
      <c r="AG71" s="505"/>
      <c r="AH71" s="505"/>
      <c r="AI71" s="506"/>
      <c r="AJ71" s="455"/>
      <c r="AK71" s="497"/>
      <c r="AL71" s="457"/>
    </row>
    <row r="72" spans="1:38" ht="16.5" hidden="1" customHeight="1" x14ac:dyDescent="0.25">
      <c r="A72" s="502">
        <f>[5]Расходы!A55</f>
        <v>0</v>
      </c>
      <c r="B72" s="511"/>
      <c r="C72" s="447" t="s">
        <v>372</v>
      </c>
      <c r="D72" s="512"/>
      <c r="E72" s="513"/>
      <c r="F72" s="450">
        <f>[5]Расходы!E55</f>
        <v>0</v>
      </c>
      <c r="G72" s="451">
        <f>[5]Расходы!F55</f>
        <v>0</v>
      </c>
      <c r="H72" s="451">
        <f>[5]Расходы!G55</f>
        <v>0</v>
      </c>
      <c r="I72" s="451">
        <f>[5]Расходы!H55</f>
        <v>0</v>
      </c>
      <c r="J72" s="451">
        <f>[5]Расходы!I55</f>
        <v>0</v>
      </c>
      <c r="K72" s="451">
        <f>[5]Расходы!J55</f>
        <v>0</v>
      </c>
      <c r="L72" s="451">
        <f>[5]Расходы!K55</f>
        <v>0</v>
      </c>
      <c r="M72" s="451">
        <f>[5]Расходы!L55</f>
        <v>0</v>
      </c>
      <c r="N72" s="451">
        <f>[5]Расходы!M55</f>
        <v>0</v>
      </c>
      <c r="O72" s="451">
        <f>[5]Расходы!N55</f>
        <v>0</v>
      </c>
      <c r="P72" s="451">
        <f>[5]Расходы!O55</f>
        <v>0</v>
      </c>
      <c r="Q72" s="451">
        <f>[5]Расходы!P55</f>
        <v>0</v>
      </c>
      <c r="R72" s="451">
        <f>[5]Расходы!Q55</f>
        <v>0</v>
      </c>
      <c r="S72" s="451">
        <f>[5]Расходы!R55</f>
        <v>0</v>
      </c>
      <c r="T72" s="451">
        <f>[5]Расходы!S55</f>
        <v>0</v>
      </c>
      <c r="U72" s="451">
        <f>[5]Расходы!T55</f>
        <v>0</v>
      </c>
      <c r="V72" s="451">
        <f>[5]Расходы!U55</f>
        <v>0</v>
      </c>
      <c r="W72" s="451">
        <f>[5]Расходы!V55</f>
        <v>0</v>
      </c>
      <c r="X72" s="451">
        <f>[5]Расходы!W55</f>
        <v>0</v>
      </c>
      <c r="Y72" s="451">
        <f>[5]Расходы!X55</f>
        <v>0</v>
      </c>
      <c r="Z72" s="451">
        <f>[5]Расходы!Y55</f>
        <v>0</v>
      </c>
      <c r="AA72" s="451">
        <f>[5]Расходы!Z55</f>
        <v>0</v>
      </c>
      <c r="AB72" s="451">
        <f>[5]Расходы!AA55</f>
        <v>0</v>
      </c>
      <c r="AC72" s="451">
        <f>[5]Расходы!AB55</f>
        <v>0</v>
      </c>
      <c r="AD72" s="452">
        <f>[5]Расходы!AC55</f>
        <v>0</v>
      </c>
      <c r="AE72" s="469"/>
      <c r="AF72" s="453"/>
      <c r="AG72" s="453"/>
      <c r="AH72" s="453"/>
      <c r="AI72" s="514"/>
      <c r="AJ72" s="459"/>
      <c r="AK72" s="456"/>
      <c r="AL72" s="457"/>
    </row>
    <row r="73" spans="1:38" ht="16.5" customHeight="1" x14ac:dyDescent="0.25">
      <c r="A73" s="498" t="s">
        <v>386</v>
      </c>
      <c r="B73" s="511"/>
      <c r="C73" s="447" t="s">
        <v>372</v>
      </c>
      <c r="D73" s="512"/>
      <c r="E73" s="513"/>
      <c r="F73" s="450">
        <f>Kulud!$E$56</f>
        <v>12000</v>
      </c>
      <c r="G73" s="451">
        <f>Kulud!$E$56</f>
        <v>12000</v>
      </c>
      <c r="H73" s="451">
        <f>Kulud!$E$56</f>
        <v>12000</v>
      </c>
      <c r="I73" s="451">
        <f>Kulud!$E$56</f>
        <v>12000</v>
      </c>
      <c r="J73" s="451">
        <f>Kulud!$E$56</f>
        <v>12000</v>
      </c>
      <c r="K73" s="451">
        <f>Kulud!$E$56</f>
        <v>12000</v>
      </c>
      <c r="L73" s="451">
        <f>Kulud!$E$56</f>
        <v>12000</v>
      </c>
      <c r="M73" s="451">
        <f>Kulud!$E$56</f>
        <v>12000</v>
      </c>
      <c r="N73" s="451">
        <f>Kulud!$E$56</f>
        <v>12000</v>
      </c>
      <c r="O73" s="451">
        <f>Kulud!$E$56</f>
        <v>12000</v>
      </c>
      <c r="P73" s="451">
        <f>Kulud!$E$56</f>
        <v>12000</v>
      </c>
      <c r="Q73" s="451">
        <f>Kulud!$E$56</f>
        <v>12000</v>
      </c>
      <c r="R73" s="451">
        <f>Kulud!$E$56</f>
        <v>12000</v>
      </c>
      <c r="S73" s="451">
        <f>Kulud!$E$56</f>
        <v>12000</v>
      </c>
      <c r="T73" s="451">
        <f>Kulud!$E$56</f>
        <v>12000</v>
      </c>
      <c r="U73" s="451">
        <f>Kulud!$E$56</f>
        <v>12000</v>
      </c>
      <c r="V73" s="451">
        <f>Kulud!$E$56</f>
        <v>12000</v>
      </c>
      <c r="W73" s="451">
        <f>Kulud!$E$56</f>
        <v>12000</v>
      </c>
      <c r="X73" s="451">
        <f>Kulud!$E$56</f>
        <v>12000</v>
      </c>
      <c r="Y73" s="451">
        <f>Kulud!$E$56</f>
        <v>12000</v>
      </c>
      <c r="Z73" s="451">
        <f>Kulud!$E$56</f>
        <v>12000</v>
      </c>
      <c r="AA73" s="451">
        <f>Kulud!$E$56</f>
        <v>12000</v>
      </c>
      <c r="AB73" s="451">
        <f>Kulud!$E$56</f>
        <v>12000</v>
      </c>
      <c r="AC73" s="451">
        <f>Kulud!$E$56</f>
        <v>12000</v>
      </c>
      <c r="AD73" s="452">
        <f>Kulud!$E$56</f>
        <v>12000</v>
      </c>
      <c r="AE73" s="469"/>
      <c r="AF73" s="453"/>
      <c r="AG73" s="453"/>
      <c r="AH73" s="453"/>
      <c r="AI73" s="514"/>
      <c r="AJ73" s="459"/>
      <c r="AK73" s="456"/>
      <c r="AL73" s="457"/>
    </row>
    <row r="74" spans="1:38" ht="16.5" customHeight="1" x14ac:dyDescent="0.25">
      <c r="A74" s="498" t="s">
        <v>32</v>
      </c>
      <c r="B74" s="511"/>
      <c r="C74" s="447" t="s">
        <v>372</v>
      </c>
      <c r="D74" s="512"/>
      <c r="E74" s="513"/>
      <c r="F74" s="450">
        <f>Kulud!$E$57</f>
        <v>8463.7249976800013</v>
      </c>
      <c r="G74" s="451">
        <f>Kulud!$E$57</f>
        <v>8463.7249976800013</v>
      </c>
      <c r="H74" s="451">
        <f>Kulud!$E$57</f>
        <v>8463.7249976800013</v>
      </c>
      <c r="I74" s="451">
        <f>Kulud!$E$57</f>
        <v>8463.7249976800013</v>
      </c>
      <c r="J74" s="451">
        <f>Kulud!$E$57</f>
        <v>8463.7249976800013</v>
      </c>
      <c r="K74" s="451">
        <f>Kulud!$E$57</f>
        <v>8463.7249976800013</v>
      </c>
      <c r="L74" s="451">
        <f>Kulud!$E$57</f>
        <v>8463.7249976800013</v>
      </c>
      <c r="M74" s="451">
        <f>Kulud!$E$57</f>
        <v>8463.7249976800013</v>
      </c>
      <c r="N74" s="451">
        <f>Kulud!$E$57</f>
        <v>8463.7249976800013</v>
      </c>
      <c r="O74" s="451">
        <f>Kulud!$E$57</f>
        <v>8463.7249976800013</v>
      </c>
      <c r="P74" s="451">
        <f>Kulud!$E$57</f>
        <v>8463.7249976800013</v>
      </c>
      <c r="Q74" s="451">
        <f>Kulud!$E$57</f>
        <v>8463.7249976800013</v>
      </c>
      <c r="R74" s="451">
        <f>Kulud!$E$57</f>
        <v>8463.7249976800013</v>
      </c>
      <c r="S74" s="451">
        <f>Kulud!$E$57</f>
        <v>8463.7249976800013</v>
      </c>
      <c r="T74" s="451">
        <f>Kulud!$E$57</f>
        <v>8463.7249976800013</v>
      </c>
      <c r="U74" s="451">
        <f>Kulud!$E$57</f>
        <v>8463.7249976800013</v>
      </c>
      <c r="V74" s="451">
        <f>Kulud!$E$57</f>
        <v>8463.7249976800013</v>
      </c>
      <c r="W74" s="451">
        <f>Kulud!$E$57</f>
        <v>8463.7249976800013</v>
      </c>
      <c r="X74" s="451">
        <f>Kulud!$E$57</f>
        <v>8463.7249976800013</v>
      </c>
      <c r="Y74" s="451">
        <f>Kulud!$E$57</f>
        <v>8463.7249976800013</v>
      </c>
      <c r="Z74" s="451">
        <f>Kulud!$E$57</f>
        <v>8463.7249976800013</v>
      </c>
      <c r="AA74" s="451">
        <f>Kulud!$E$57</f>
        <v>8463.7249976800013</v>
      </c>
      <c r="AB74" s="451">
        <f>Kulud!$E$57</f>
        <v>8463.7249976800013</v>
      </c>
      <c r="AC74" s="451">
        <f>Kulud!$E$57</f>
        <v>8463.7249976800013</v>
      </c>
      <c r="AD74" s="452">
        <f>Kulud!$E$57</f>
        <v>8463.7249976800013</v>
      </c>
      <c r="AE74" s="469"/>
      <c r="AF74" s="453"/>
      <c r="AG74" s="453"/>
      <c r="AH74" s="453"/>
      <c r="AI74" s="514"/>
      <c r="AJ74" s="459"/>
      <c r="AK74" s="456"/>
      <c r="AL74" s="457"/>
    </row>
    <row r="75" spans="1:38" ht="16.5" customHeight="1" x14ac:dyDescent="0.25">
      <c r="A75" s="498" t="s">
        <v>387</v>
      </c>
      <c r="B75" s="511"/>
      <c r="C75" s="447" t="s">
        <v>372</v>
      </c>
      <c r="D75" s="512"/>
      <c r="E75" s="513"/>
      <c r="F75" s="450">
        <f>SUM(F76:F78)</f>
        <v>6900</v>
      </c>
      <c r="G75" s="451">
        <f t="shared" ref="G75:AD75" si="22">SUM(G76:G78)</f>
        <v>6900</v>
      </c>
      <c r="H75" s="451">
        <f t="shared" si="22"/>
        <v>6900</v>
      </c>
      <c r="I75" s="451">
        <f t="shared" si="22"/>
        <v>6900</v>
      </c>
      <c r="J75" s="451">
        <f t="shared" si="22"/>
        <v>6900</v>
      </c>
      <c r="K75" s="451">
        <f t="shared" si="22"/>
        <v>6900</v>
      </c>
      <c r="L75" s="451">
        <f t="shared" si="22"/>
        <v>6900</v>
      </c>
      <c r="M75" s="451">
        <f t="shared" si="22"/>
        <v>6900</v>
      </c>
      <c r="N75" s="451">
        <f t="shared" si="22"/>
        <v>6900</v>
      </c>
      <c r="O75" s="451">
        <f t="shared" si="22"/>
        <v>6900</v>
      </c>
      <c r="P75" s="451">
        <f t="shared" si="22"/>
        <v>6900</v>
      </c>
      <c r="Q75" s="451">
        <f t="shared" si="22"/>
        <v>6900</v>
      </c>
      <c r="R75" s="451">
        <f t="shared" si="22"/>
        <v>6900</v>
      </c>
      <c r="S75" s="451">
        <f t="shared" si="22"/>
        <v>6900</v>
      </c>
      <c r="T75" s="451">
        <f t="shared" si="22"/>
        <v>6900</v>
      </c>
      <c r="U75" s="451">
        <f t="shared" si="22"/>
        <v>6900</v>
      </c>
      <c r="V75" s="451">
        <f t="shared" si="22"/>
        <v>6900</v>
      </c>
      <c r="W75" s="451">
        <f t="shared" si="22"/>
        <v>6900</v>
      </c>
      <c r="X75" s="451">
        <f t="shared" si="22"/>
        <v>6900</v>
      </c>
      <c r="Y75" s="451">
        <f t="shared" si="22"/>
        <v>6900</v>
      </c>
      <c r="Z75" s="451">
        <f t="shared" si="22"/>
        <v>6900</v>
      </c>
      <c r="AA75" s="451">
        <f t="shared" si="22"/>
        <v>6900</v>
      </c>
      <c r="AB75" s="451">
        <f t="shared" si="22"/>
        <v>6900</v>
      </c>
      <c r="AC75" s="451">
        <f t="shared" si="22"/>
        <v>6900</v>
      </c>
      <c r="AD75" s="452">
        <f t="shared" si="22"/>
        <v>6900</v>
      </c>
      <c r="AE75" s="469"/>
      <c r="AF75" s="453"/>
      <c r="AG75" s="453"/>
      <c r="AH75" s="453"/>
      <c r="AI75" s="514"/>
      <c r="AJ75" s="459"/>
      <c r="AK75" s="456"/>
      <c r="AL75" s="457"/>
    </row>
    <row r="76" spans="1:38" ht="16.5" customHeight="1" x14ac:dyDescent="0.25">
      <c r="A76" s="515" t="s">
        <v>388</v>
      </c>
      <c r="B76" s="511"/>
      <c r="C76" s="447" t="s">
        <v>372</v>
      </c>
      <c r="D76" s="512"/>
      <c r="E76" s="513"/>
      <c r="F76" s="450">
        <f>Kulud!$E$59</f>
        <v>720</v>
      </c>
      <c r="G76" s="451">
        <f>Kulud!$E$59</f>
        <v>720</v>
      </c>
      <c r="H76" s="451">
        <f>Kulud!$E$59</f>
        <v>720</v>
      </c>
      <c r="I76" s="451">
        <f>Kulud!$E$59</f>
        <v>720</v>
      </c>
      <c r="J76" s="451">
        <f>Kulud!$E$59</f>
        <v>720</v>
      </c>
      <c r="K76" s="451">
        <f>Kulud!$E$59</f>
        <v>720</v>
      </c>
      <c r="L76" s="451">
        <f>Kulud!$E$59</f>
        <v>720</v>
      </c>
      <c r="M76" s="451">
        <f>Kulud!$E$59</f>
        <v>720</v>
      </c>
      <c r="N76" s="451">
        <f>Kulud!$E$59</f>
        <v>720</v>
      </c>
      <c r="O76" s="451">
        <f>Kulud!$E$59</f>
        <v>720</v>
      </c>
      <c r="P76" s="451">
        <f>Kulud!$E$59</f>
        <v>720</v>
      </c>
      <c r="Q76" s="451">
        <f>Kulud!$E$59</f>
        <v>720</v>
      </c>
      <c r="R76" s="451">
        <f>Kulud!$E$59</f>
        <v>720</v>
      </c>
      <c r="S76" s="451">
        <f>Kulud!$E$59</f>
        <v>720</v>
      </c>
      <c r="T76" s="451">
        <f>Kulud!$E$59</f>
        <v>720</v>
      </c>
      <c r="U76" s="451">
        <f>Kulud!$E$59</f>
        <v>720</v>
      </c>
      <c r="V76" s="451">
        <f>Kulud!$E$59</f>
        <v>720</v>
      </c>
      <c r="W76" s="451">
        <f>Kulud!$E$59</f>
        <v>720</v>
      </c>
      <c r="X76" s="451">
        <f>Kulud!$E$59</f>
        <v>720</v>
      </c>
      <c r="Y76" s="451">
        <f>Kulud!$E$59</f>
        <v>720</v>
      </c>
      <c r="Z76" s="451">
        <f>Kulud!$E$59</f>
        <v>720</v>
      </c>
      <c r="AA76" s="451">
        <f>Kulud!$E$59</f>
        <v>720</v>
      </c>
      <c r="AB76" s="451">
        <f>Kulud!$E$59</f>
        <v>720</v>
      </c>
      <c r="AC76" s="451">
        <f>Kulud!$E$59</f>
        <v>720</v>
      </c>
      <c r="AD76" s="452">
        <f>Kulud!$E$59</f>
        <v>720</v>
      </c>
      <c r="AE76" s="469"/>
      <c r="AF76" s="453"/>
      <c r="AG76" s="453"/>
      <c r="AH76" s="453"/>
      <c r="AI76" s="514"/>
      <c r="AJ76" s="459"/>
      <c r="AK76" s="456"/>
      <c r="AL76" s="457"/>
    </row>
    <row r="77" spans="1:38" ht="16.5" customHeight="1" x14ac:dyDescent="0.25">
      <c r="A77" s="515" t="s">
        <v>389</v>
      </c>
      <c r="B77" s="511"/>
      <c r="C77" s="447" t="s">
        <v>372</v>
      </c>
      <c r="D77" s="512"/>
      <c r="E77" s="513"/>
      <c r="F77" s="450">
        <f>Kulud!$E$60</f>
        <v>3600</v>
      </c>
      <c r="G77" s="451">
        <f>Kulud!$E$60</f>
        <v>3600</v>
      </c>
      <c r="H77" s="451">
        <f>Kulud!$E$60</f>
        <v>3600</v>
      </c>
      <c r="I77" s="451">
        <f>Kulud!$E$60</f>
        <v>3600</v>
      </c>
      <c r="J77" s="451">
        <f>Kulud!$E$60</f>
        <v>3600</v>
      </c>
      <c r="K77" s="451">
        <f>Kulud!$E$60</f>
        <v>3600</v>
      </c>
      <c r="L77" s="451">
        <f>Kulud!$E$60</f>
        <v>3600</v>
      </c>
      <c r="M77" s="451">
        <f>Kulud!$E$60</f>
        <v>3600</v>
      </c>
      <c r="N77" s="451">
        <f>Kulud!$E$60</f>
        <v>3600</v>
      </c>
      <c r="O77" s="451">
        <f>Kulud!$E$60</f>
        <v>3600</v>
      </c>
      <c r="P77" s="451">
        <f>Kulud!$E$60</f>
        <v>3600</v>
      </c>
      <c r="Q77" s="451">
        <f>Kulud!$E$60</f>
        <v>3600</v>
      </c>
      <c r="R77" s="451">
        <f>Kulud!$E$60</f>
        <v>3600</v>
      </c>
      <c r="S77" s="451">
        <f>Kulud!$E$60</f>
        <v>3600</v>
      </c>
      <c r="T77" s="451">
        <f>Kulud!$E$60</f>
        <v>3600</v>
      </c>
      <c r="U77" s="451">
        <f>Kulud!$E$60</f>
        <v>3600</v>
      </c>
      <c r="V77" s="451">
        <f>Kulud!$E$60</f>
        <v>3600</v>
      </c>
      <c r="W77" s="451">
        <f>Kulud!$E$60</f>
        <v>3600</v>
      </c>
      <c r="X77" s="451">
        <f>Kulud!$E$60</f>
        <v>3600</v>
      </c>
      <c r="Y77" s="451">
        <f>Kulud!$E$60</f>
        <v>3600</v>
      </c>
      <c r="Z77" s="451">
        <f>Kulud!$E$60</f>
        <v>3600</v>
      </c>
      <c r="AA77" s="451">
        <f>Kulud!$E$60</f>
        <v>3600</v>
      </c>
      <c r="AB77" s="451">
        <f>Kulud!$E$60</f>
        <v>3600</v>
      </c>
      <c r="AC77" s="451">
        <f>Kulud!$E$60</f>
        <v>3600</v>
      </c>
      <c r="AD77" s="452">
        <f>Kulud!$E$60</f>
        <v>3600</v>
      </c>
      <c r="AE77" s="469"/>
      <c r="AF77" s="453"/>
      <c r="AG77" s="453"/>
      <c r="AH77" s="453"/>
      <c r="AI77" s="514"/>
      <c r="AJ77" s="459"/>
      <c r="AK77" s="456"/>
      <c r="AL77" s="457"/>
    </row>
    <row r="78" spans="1:38" ht="16.5" customHeight="1" x14ac:dyDescent="0.25">
      <c r="A78" s="515" t="s">
        <v>390</v>
      </c>
      <c r="B78" s="511"/>
      <c r="C78" s="447" t="s">
        <v>372</v>
      </c>
      <c r="D78" s="512"/>
      <c r="E78" s="513"/>
      <c r="F78" s="450">
        <f>Kulud!$E$61</f>
        <v>2580</v>
      </c>
      <c r="G78" s="451">
        <f>Kulud!$E$61</f>
        <v>2580</v>
      </c>
      <c r="H78" s="451">
        <f>Kulud!$E$61</f>
        <v>2580</v>
      </c>
      <c r="I78" s="451">
        <f>Kulud!$E$61</f>
        <v>2580</v>
      </c>
      <c r="J78" s="451">
        <f>Kulud!$E$61</f>
        <v>2580</v>
      </c>
      <c r="K78" s="451">
        <f>Kulud!$E$61</f>
        <v>2580</v>
      </c>
      <c r="L78" s="451">
        <f>Kulud!$E$61</f>
        <v>2580</v>
      </c>
      <c r="M78" s="451">
        <f>Kulud!$E$61</f>
        <v>2580</v>
      </c>
      <c r="N78" s="451">
        <f>Kulud!$E$61</f>
        <v>2580</v>
      </c>
      <c r="O78" s="451">
        <f>Kulud!$E$61</f>
        <v>2580</v>
      </c>
      <c r="P78" s="451">
        <f>Kulud!$E$61</f>
        <v>2580</v>
      </c>
      <c r="Q78" s="451">
        <f>Kulud!$E$61</f>
        <v>2580</v>
      </c>
      <c r="R78" s="451">
        <f>Kulud!$E$61</f>
        <v>2580</v>
      </c>
      <c r="S78" s="451">
        <f>Kulud!$E$61</f>
        <v>2580</v>
      </c>
      <c r="T78" s="451">
        <f>Kulud!$E$61</f>
        <v>2580</v>
      </c>
      <c r="U78" s="451">
        <f>Kulud!$E$61</f>
        <v>2580</v>
      </c>
      <c r="V78" s="451">
        <f>Kulud!$E$61</f>
        <v>2580</v>
      </c>
      <c r="W78" s="451">
        <f>Kulud!$E$61</f>
        <v>2580</v>
      </c>
      <c r="X78" s="451">
        <f>Kulud!$E$61</f>
        <v>2580</v>
      </c>
      <c r="Y78" s="451">
        <f>Kulud!$E$61</f>
        <v>2580</v>
      </c>
      <c r="Z78" s="451">
        <f>Kulud!$E$61</f>
        <v>2580</v>
      </c>
      <c r="AA78" s="451">
        <f>Kulud!$E$61</f>
        <v>2580</v>
      </c>
      <c r="AB78" s="451">
        <f>Kulud!$E$61</f>
        <v>2580</v>
      </c>
      <c r="AC78" s="451">
        <f>Kulud!$E$61</f>
        <v>2580</v>
      </c>
      <c r="AD78" s="452">
        <f>Kulud!$E$61</f>
        <v>2580</v>
      </c>
      <c r="AE78" s="469"/>
      <c r="AF78" s="453"/>
      <c r="AG78" s="453"/>
      <c r="AH78" s="453"/>
      <c r="AI78" s="514"/>
      <c r="AJ78" s="459"/>
      <c r="AK78" s="456"/>
      <c r="AL78" s="457"/>
    </row>
    <row r="79" spans="1:38" ht="16.5" hidden="1" customHeight="1" x14ac:dyDescent="0.25">
      <c r="A79" s="485"/>
      <c r="B79" s="511"/>
      <c r="C79" s="516"/>
      <c r="D79" s="512"/>
      <c r="E79" s="513"/>
      <c r="F79" s="517"/>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9"/>
      <c r="AE79" s="469"/>
      <c r="AF79" s="453"/>
      <c r="AG79" s="453"/>
      <c r="AH79" s="453"/>
      <c r="AI79" s="514"/>
      <c r="AJ79" s="459"/>
      <c r="AK79" s="456"/>
      <c r="AL79" s="457"/>
    </row>
    <row r="80" spans="1:38" ht="16.5" hidden="1" customHeight="1" x14ac:dyDescent="0.25">
      <c r="A80" s="485"/>
      <c r="B80" s="511"/>
      <c r="C80" s="486"/>
      <c r="D80" s="512"/>
      <c r="E80" s="513"/>
      <c r="F80" s="517"/>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9"/>
      <c r="AE80" s="469"/>
      <c r="AF80" s="453"/>
      <c r="AG80" s="453"/>
      <c r="AH80" s="453"/>
      <c r="AI80" s="458"/>
      <c r="AJ80" s="459"/>
      <c r="AK80" s="460"/>
      <c r="AL80" s="473"/>
    </row>
    <row r="81" spans="1:38" ht="16.5" hidden="1" customHeight="1" x14ac:dyDescent="0.25">
      <c r="A81" s="485"/>
      <c r="B81" s="511"/>
      <c r="C81" s="520"/>
      <c r="D81" s="512"/>
      <c r="E81" s="513"/>
      <c r="F81" s="517"/>
      <c r="G81" s="518"/>
      <c r="H81" s="518"/>
      <c r="I81" s="518"/>
      <c r="J81" s="518"/>
      <c r="K81" s="518"/>
      <c r="L81" s="518"/>
      <c r="M81" s="518"/>
      <c r="N81" s="518"/>
      <c r="O81" s="518"/>
      <c r="P81" s="518"/>
      <c r="Q81" s="518"/>
      <c r="R81" s="518"/>
      <c r="S81" s="518"/>
      <c r="T81" s="518"/>
      <c r="U81" s="518"/>
      <c r="V81" s="518"/>
      <c r="W81" s="518"/>
      <c r="X81" s="518"/>
      <c r="Y81" s="518"/>
      <c r="Z81" s="518"/>
      <c r="AA81" s="518"/>
      <c r="AB81" s="518"/>
      <c r="AC81" s="518"/>
      <c r="AD81" s="519"/>
      <c r="AE81" s="469"/>
      <c r="AF81" s="453"/>
      <c r="AG81" s="453"/>
      <c r="AH81" s="453"/>
      <c r="AI81" s="514"/>
      <c r="AJ81" s="459"/>
      <c r="AK81" s="456"/>
      <c r="AL81" s="473"/>
    </row>
    <row r="82" spans="1:38" ht="16.5" hidden="1" customHeight="1" x14ac:dyDescent="0.25">
      <c r="A82" s="465"/>
      <c r="B82" s="511"/>
      <c r="C82" s="486"/>
      <c r="D82" s="512"/>
      <c r="E82" s="513"/>
      <c r="F82" s="517"/>
      <c r="G82" s="518"/>
      <c r="H82" s="518"/>
      <c r="I82" s="518"/>
      <c r="J82" s="518"/>
      <c r="K82" s="518"/>
      <c r="L82" s="518"/>
      <c r="M82" s="518"/>
      <c r="N82" s="518"/>
      <c r="O82" s="518"/>
      <c r="P82" s="518"/>
      <c r="Q82" s="518"/>
      <c r="R82" s="518"/>
      <c r="S82" s="518"/>
      <c r="T82" s="518"/>
      <c r="U82" s="518"/>
      <c r="V82" s="518"/>
      <c r="W82" s="518"/>
      <c r="X82" s="518"/>
      <c r="Y82" s="518"/>
      <c r="Z82" s="518"/>
      <c r="AA82" s="518"/>
      <c r="AB82" s="518"/>
      <c r="AC82" s="518"/>
      <c r="AD82" s="519"/>
      <c r="AE82" s="469"/>
      <c r="AF82" s="453"/>
      <c r="AG82" s="453"/>
      <c r="AH82" s="453"/>
      <c r="AI82" s="521"/>
      <c r="AJ82" s="453"/>
      <c r="AK82" s="522"/>
      <c r="AL82" s="523"/>
    </row>
    <row r="83" spans="1:38" ht="16.5" hidden="1" customHeight="1" x14ac:dyDescent="0.25">
      <c r="A83" s="485"/>
      <c r="B83" s="524"/>
      <c r="C83" s="486"/>
      <c r="D83" s="448"/>
      <c r="E83" s="525"/>
      <c r="F83" s="526"/>
      <c r="G83" s="527"/>
      <c r="H83" s="527"/>
      <c r="I83" s="527"/>
      <c r="J83" s="527"/>
      <c r="K83" s="527"/>
      <c r="L83" s="527"/>
      <c r="M83" s="527"/>
      <c r="N83" s="527"/>
      <c r="O83" s="527"/>
      <c r="P83" s="527"/>
      <c r="Q83" s="527"/>
      <c r="R83" s="527"/>
      <c r="S83" s="527"/>
      <c r="T83" s="527"/>
      <c r="U83" s="527"/>
      <c r="V83" s="527"/>
      <c r="W83" s="527"/>
      <c r="X83" s="527"/>
      <c r="Y83" s="527"/>
      <c r="Z83" s="527"/>
      <c r="AA83" s="527"/>
      <c r="AB83" s="527"/>
      <c r="AC83" s="527"/>
      <c r="AD83" s="528"/>
      <c r="AE83" s="469"/>
      <c r="AF83" s="453"/>
      <c r="AG83" s="453"/>
      <c r="AH83" s="453"/>
      <c r="AI83" s="529"/>
      <c r="AJ83" s="530"/>
      <c r="AK83" s="531"/>
      <c r="AL83" s="532"/>
    </row>
    <row r="84" spans="1:38" x14ac:dyDescent="0.25">
      <c r="A84" s="533"/>
      <c r="B84" s="534"/>
      <c r="C84" s="535"/>
      <c r="D84" s="536"/>
      <c r="E84" s="537"/>
      <c r="F84" s="538"/>
      <c r="G84" s="539"/>
      <c r="H84" s="539"/>
      <c r="I84" s="539"/>
      <c r="J84" s="539"/>
      <c r="K84" s="539"/>
      <c r="L84" s="539"/>
      <c r="M84" s="539"/>
      <c r="N84" s="539"/>
      <c r="O84" s="539"/>
      <c r="P84" s="539"/>
      <c r="Q84" s="539"/>
      <c r="R84" s="539"/>
      <c r="S84" s="539"/>
      <c r="T84" s="539"/>
      <c r="U84" s="539"/>
      <c r="V84" s="539"/>
      <c r="W84" s="539"/>
      <c r="X84" s="539"/>
      <c r="Y84" s="539"/>
      <c r="Z84" s="539"/>
      <c r="AA84" s="539"/>
      <c r="AB84" s="539"/>
      <c r="AC84" s="539"/>
      <c r="AD84" s="539"/>
      <c r="AE84" s="540"/>
      <c r="AF84" s="453"/>
      <c r="AG84" s="453"/>
      <c r="AH84" s="453"/>
      <c r="AI84" s="453"/>
      <c r="AJ84" s="453"/>
    </row>
    <row r="85" spans="1:38" x14ac:dyDescent="0.25">
      <c r="A85" s="1038"/>
      <c r="B85" s="1038"/>
      <c r="C85" s="406"/>
      <c r="E85" s="406"/>
      <c r="F85" s="406"/>
    </row>
    <row r="86" spans="1:38" x14ac:dyDescent="0.25">
      <c r="A86" s="1038"/>
      <c r="B86" s="1038"/>
      <c r="C86" s="406"/>
      <c r="F86" s="406"/>
    </row>
    <row r="87" spans="1:38" x14ac:dyDescent="0.25">
      <c r="B87" s="541"/>
    </row>
    <row r="130" spans="6:6" x14ac:dyDescent="0.25">
      <c r="F130" s="406">
        <f>Eeldused_muugi!F22</f>
        <v>109</v>
      </c>
    </row>
    <row r="131" spans="6:6" x14ac:dyDescent="0.25">
      <c r="F131" s="403">
        <f>(Sisendandmed!$C$23+Sisendandmed!$C$24)*Sisendandmed!$C$9*12</f>
        <v>38.304000000000002</v>
      </c>
    </row>
    <row r="132" spans="6:6" x14ac:dyDescent="0.25">
      <c r="F132" s="542">
        <v>7507.5839999999989</v>
      </c>
    </row>
    <row r="134" spans="6:6" x14ac:dyDescent="0.25">
      <c r="F134" s="403">
        <f>Eeldused_muugi!F21*Eeldused_muugi!F18</f>
        <v>109</v>
      </c>
    </row>
    <row r="135" spans="6:6" x14ac:dyDescent="0.25">
      <c r="F135" s="403">
        <f>Sisendandmed!$C$25*Sisendandmed!$C$7</f>
        <v>29.52</v>
      </c>
    </row>
    <row r="136" spans="6:6" x14ac:dyDescent="0.25">
      <c r="F136" s="542">
        <v>3840.886559999999</v>
      </c>
    </row>
  </sheetData>
  <mergeCells count="6">
    <mergeCell ref="A86:B86"/>
    <mergeCell ref="D1:E1"/>
    <mergeCell ref="D2:E2"/>
    <mergeCell ref="AI3:AK3"/>
    <mergeCell ref="A85:B85"/>
    <mergeCell ref="F1:R1"/>
  </mergeCells>
  <pageMargins left="0" right="0" top="0.98425196850393704" bottom="0.98425196850393704" header="0.51181102362204722" footer="0.51181102362204722"/>
  <pageSetup scale="70" orientation="landscape" r:id="rId1"/>
  <headerFooter alignWithMargins="0"/>
  <rowBreaks count="1" manualBreakCount="1">
    <brk id="22"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8"/>
  <sheetViews>
    <sheetView showGridLines="0" topLeftCell="A10" workbookViewId="0">
      <selection activeCell="C22" sqref="C22"/>
    </sheetView>
  </sheetViews>
  <sheetFormatPr defaultColWidth="9.1796875" defaultRowHeight="14.5" x14ac:dyDescent="0.35"/>
  <cols>
    <col min="1" max="1" width="20.1796875" style="279" customWidth="1"/>
    <col min="2" max="2" width="13.54296875" style="271" customWidth="1"/>
    <col min="3" max="3" width="46.1796875" style="70" customWidth="1"/>
    <col min="4" max="4" width="3.81640625" style="70" customWidth="1"/>
    <col min="5" max="16384" width="9.1796875" style="70"/>
  </cols>
  <sheetData>
    <row r="1" spans="1:4" ht="26.25" customHeight="1" x14ac:dyDescent="0.35">
      <c r="A1" s="270" t="s">
        <v>166</v>
      </c>
      <c r="D1" s="268"/>
    </row>
    <row r="3" spans="1:4" ht="63" customHeight="1" x14ac:dyDescent="0.35">
      <c r="A3" s="272" t="s">
        <v>167</v>
      </c>
      <c r="B3" s="925" t="s">
        <v>641</v>
      </c>
      <c r="C3" s="925"/>
    </row>
    <row r="4" spans="1:4" x14ac:dyDescent="0.35">
      <c r="A4" s="273"/>
    </row>
    <row r="5" spans="1:4" ht="42" customHeight="1" x14ac:dyDescent="0.35">
      <c r="A5" s="272" t="s">
        <v>168</v>
      </c>
      <c r="B5" s="926" t="s">
        <v>642</v>
      </c>
      <c r="C5" s="926"/>
    </row>
    <row r="6" spans="1:4" ht="23.25" customHeight="1" x14ac:dyDescent="0.35">
      <c r="A6" s="272" t="s">
        <v>169</v>
      </c>
      <c r="B6" s="926" t="s">
        <v>643</v>
      </c>
      <c r="C6" s="926"/>
    </row>
    <row r="7" spans="1:4" ht="23.25" customHeight="1" x14ac:dyDescent="0.35">
      <c r="A7" s="272" t="s">
        <v>170</v>
      </c>
      <c r="B7" s="927" t="s">
        <v>644</v>
      </c>
      <c r="C7" s="927"/>
    </row>
    <row r="8" spans="1:4" ht="23.25" customHeight="1" x14ac:dyDescent="0.35">
      <c r="A8" s="272" t="s">
        <v>171</v>
      </c>
      <c r="B8" s="928"/>
      <c r="C8" s="928"/>
    </row>
    <row r="9" spans="1:4" x14ac:dyDescent="0.35">
      <c r="A9" s="273"/>
    </row>
    <row r="10" spans="1:4" ht="33.75" customHeight="1" x14ac:dyDescent="0.35">
      <c r="A10" s="272" t="s">
        <v>172</v>
      </c>
      <c r="B10" s="275">
        <v>2023</v>
      </c>
      <c r="C10" s="276"/>
    </row>
    <row r="11" spans="1:4" ht="35.25" customHeight="1" x14ac:dyDescent="0.35">
      <c r="A11" s="272" t="s">
        <v>173</v>
      </c>
      <c r="B11" s="275">
        <v>2037</v>
      </c>
      <c r="C11" s="276"/>
    </row>
    <row r="12" spans="1:4" ht="36" customHeight="1" x14ac:dyDescent="0.35">
      <c r="A12" s="272" t="s">
        <v>174</v>
      </c>
      <c r="B12" s="277">
        <f>IF(B11&gt;0,B11-B10+1,"")</f>
        <v>15</v>
      </c>
      <c r="C12" s="278" t="s">
        <v>88</v>
      </c>
    </row>
    <row r="13" spans="1:4" ht="81" customHeight="1" x14ac:dyDescent="0.35">
      <c r="A13" s="272" t="s">
        <v>175</v>
      </c>
      <c r="B13" s="1068" t="s">
        <v>645</v>
      </c>
      <c r="C13" s="929"/>
    </row>
    <row r="14" spans="1:4" x14ac:dyDescent="0.35">
      <c r="A14" s="273"/>
    </row>
    <row r="15" spans="1:4" ht="20.25" customHeight="1" x14ac:dyDescent="0.35">
      <c r="A15" s="279" t="s">
        <v>176</v>
      </c>
    </row>
    <row r="16" spans="1:4" ht="24.75" customHeight="1" x14ac:dyDescent="0.35">
      <c r="A16" s="272" t="s">
        <v>177</v>
      </c>
      <c r="B16" s="922" t="s">
        <v>646</v>
      </c>
      <c r="C16" s="922"/>
    </row>
    <row r="17" spans="1:3" ht="24.75" customHeight="1" x14ac:dyDescent="0.35">
      <c r="A17" s="272" t="s">
        <v>178</v>
      </c>
      <c r="B17" s="922" t="s">
        <v>647</v>
      </c>
      <c r="C17" s="922"/>
    </row>
    <row r="18" spans="1:3" x14ac:dyDescent="0.35">
      <c r="A18" s="280"/>
      <c r="B18" s="923"/>
      <c r="C18" s="923"/>
    </row>
    <row r="19" spans="1:3" ht="36.75" customHeight="1" x14ac:dyDescent="0.35">
      <c r="A19" s="272" t="s">
        <v>237</v>
      </c>
      <c r="B19" s="924">
        <v>45170</v>
      </c>
      <c r="C19" s="924"/>
    </row>
    <row r="20" spans="1:3" x14ac:dyDescent="0.35">
      <c r="A20" s="273"/>
    </row>
    <row r="21" spans="1:3" x14ac:dyDescent="0.35">
      <c r="A21" s="273"/>
    </row>
    <row r="22" spans="1:3" x14ac:dyDescent="0.35">
      <c r="A22" s="273"/>
    </row>
    <row r="23" spans="1:3" x14ac:dyDescent="0.35">
      <c r="A23" s="273"/>
    </row>
    <row r="24" spans="1:3" x14ac:dyDescent="0.35">
      <c r="A24" s="273"/>
    </row>
    <row r="25" spans="1:3" x14ac:dyDescent="0.35">
      <c r="A25" s="273"/>
    </row>
    <row r="26" spans="1:3" x14ac:dyDescent="0.35">
      <c r="A26" s="273"/>
    </row>
    <row r="27" spans="1:3" x14ac:dyDescent="0.35">
      <c r="A27" s="273"/>
    </row>
    <row r="28" spans="1:3" x14ac:dyDescent="0.35">
      <c r="A28" s="273"/>
    </row>
    <row r="29" spans="1:3" x14ac:dyDescent="0.35">
      <c r="A29" s="273"/>
    </row>
    <row r="30" spans="1:3" x14ac:dyDescent="0.35">
      <c r="A30" s="273"/>
    </row>
    <row r="31" spans="1:3" x14ac:dyDescent="0.35">
      <c r="A31" s="273"/>
    </row>
    <row r="32" spans="1:3" x14ac:dyDescent="0.35">
      <c r="A32" s="273"/>
    </row>
    <row r="33" spans="1:1" x14ac:dyDescent="0.35">
      <c r="A33" s="273"/>
    </row>
    <row r="34" spans="1:1" x14ac:dyDescent="0.35">
      <c r="A34" s="273"/>
    </row>
    <row r="35" spans="1:1" x14ac:dyDescent="0.35">
      <c r="A35" s="273"/>
    </row>
    <row r="36" spans="1:1" x14ac:dyDescent="0.35">
      <c r="A36" s="273"/>
    </row>
    <row r="37" spans="1:1" x14ac:dyDescent="0.35">
      <c r="A37" s="273"/>
    </row>
    <row r="38" spans="1:1" x14ac:dyDescent="0.35">
      <c r="A38" s="273"/>
    </row>
    <row r="39" spans="1:1" x14ac:dyDescent="0.35">
      <c r="A39" s="273"/>
    </row>
    <row r="40" spans="1:1" x14ac:dyDescent="0.35">
      <c r="A40" s="273"/>
    </row>
    <row r="41" spans="1:1" x14ac:dyDescent="0.35">
      <c r="A41" s="273"/>
    </row>
    <row r="42" spans="1:1" x14ac:dyDescent="0.35">
      <c r="A42" s="273"/>
    </row>
    <row r="43" spans="1:1" x14ac:dyDescent="0.35">
      <c r="A43" s="273"/>
    </row>
    <row r="44" spans="1:1" x14ac:dyDescent="0.35">
      <c r="A44" s="273"/>
    </row>
    <row r="45" spans="1:1" x14ac:dyDescent="0.35">
      <c r="A45" s="273"/>
    </row>
    <row r="46" spans="1:1" x14ac:dyDescent="0.35">
      <c r="A46" s="273"/>
    </row>
    <row r="47" spans="1:1" x14ac:dyDescent="0.35">
      <c r="A47" s="273"/>
    </row>
    <row r="48" spans="1:1" x14ac:dyDescent="0.35">
      <c r="A48" s="273"/>
    </row>
  </sheetData>
  <mergeCells count="10">
    <mergeCell ref="B16:C16"/>
    <mergeCell ref="B17:C17"/>
    <mergeCell ref="B18:C18"/>
    <mergeCell ref="B19:C19"/>
    <mergeCell ref="B3:C3"/>
    <mergeCell ref="B5:C5"/>
    <mergeCell ref="B6:C6"/>
    <mergeCell ref="B7:C7"/>
    <mergeCell ref="B8:C8"/>
    <mergeCell ref="B13:C13"/>
  </mergeCells>
  <hyperlinks>
    <hyperlink ref="B7" r:id="rId1"/>
  </hyperlinks>
  <pageMargins left="0.9055118110236221" right="0.70866141732283472" top="0.74803149606299213" bottom="0.74803149606299213" header="0.31496062992125984" footer="0.31496062992125984"/>
  <pageSetup paperSize="9" orientation="portrait" verticalDpi="0"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T113"/>
  <sheetViews>
    <sheetView showZeros="0" zoomScale="85" zoomScaleNormal="85" workbookViewId="0">
      <pane xSplit="4" ySplit="3" topLeftCell="E56" activePane="bottomRight" state="frozen"/>
      <selection activeCell="E27" sqref="E27"/>
      <selection pane="topRight" activeCell="E27" sqref="E27"/>
      <selection pane="bottomLeft" activeCell="E27" sqref="E27"/>
      <selection pane="bottomRight" activeCell="AF68" sqref="AF68"/>
    </sheetView>
  </sheetViews>
  <sheetFormatPr defaultColWidth="9.1796875" defaultRowHeight="14" outlineLevelCol="1" x14ac:dyDescent="0.3"/>
  <cols>
    <col min="1" max="1" width="42.81640625" style="543" customWidth="1"/>
    <col min="2" max="2" width="10.54296875" style="543" hidden="1" customWidth="1" outlineLevel="1"/>
    <col min="3" max="3" width="13.1796875" style="543" hidden="1" customWidth="1" outlineLevel="1"/>
    <col min="4" max="4" width="14.26953125" style="544" bestFit="1" customWidth="1" collapsed="1"/>
    <col min="5" max="5" width="8.26953125" style="543" customWidth="1" outlineLevel="1"/>
    <col min="6" max="6" width="7.54296875" style="543" customWidth="1" outlineLevel="1"/>
    <col min="7" max="7" width="8" style="543" customWidth="1"/>
    <col min="8" max="19" width="7.54296875" style="543" customWidth="1"/>
    <col min="20" max="31" width="7.54296875" style="543" hidden="1" customWidth="1"/>
    <col min="32" max="32" width="10.1796875" style="543" customWidth="1"/>
    <col min="33" max="34" width="9.1796875" style="549"/>
    <col min="35" max="35" width="10.453125" style="549" bestFit="1" customWidth="1"/>
    <col min="36" max="36" width="10" style="549" bestFit="1" customWidth="1"/>
    <col min="37" max="37" width="10.7265625" style="549" customWidth="1"/>
    <col min="38" max="16384" width="9.1796875" style="549"/>
  </cols>
  <sheetData>
    <row r="2" spans="1:46" x14ac:dyDescent="0.3">
      <c r="G2" s="545">
        <f>[4]Фин_модель_база!H2</f>
        <v>1</v>
      </c>
      <c r="H2" s="546">
        <f>[4]Фин_модель_база!I2</f>
        <v>2</v>
      </c>
      <c r="I2" s="546">
        <f>[4]Фин_модель_база!J2</f>
        <v>3</v>
      </c>
      <c r="J2" s="546">
        <f>[4]Фин_модель_база!K2</f>
        <v>4</v>
      </c>
      <c r="K2" s="546">
        <f>[4]Фин_модель_база!L2</f>
        <v>5</v>
      </c>
      <c r="L2" s="546">
        <f>[4]Фин_модель_база!M2</f>
        <v>6</v>
      </c>
      <c r="M2" s="546">
        <f>[4]Фин_модель_база!N2</f>
        <v>7</v>
      </c>
      <c r="N2" s="546">
        <f>[4]Фин_модель_база!O2</f>
        <v>8</v>
      </c>
      <c r="O2" s="546">
        <f>[4]Фин_модель_база!P2</f>
        <v>9</v>
      </c>
      <c r="P2" s="546">
        <f>[4]Фин_модель_база!Q2</f>
        <v>10</v>
      </c>
      <c r="Q2" s="546">
        <f>[4]Фин_модель_база!R2</f>
        <v>11</v>
      </c>
      <c r="R2" s="546">
        <f>[4]Фин_модель_база!S2</f>
        <v>12</v>
      </c>
      <c r="S2" s="546">
        <f>[4]Фин_модель_база!T2</f>
        <v>13</v>
      </c>
      <c r="T2" s="546">
        <f>[4]Фин_модель_база!U2</f>
        <v>14</v>
      </c>
      <c r="U2" s="546">
        <f>[4]Фин_модель_база!V2</f>
        <v>15</v>
      </c>
      <c r="V2" s="546">
        <f>[4]Фин_модель_база!W2</f>
        <v>16</v>
      </c>
      <c r="W2" s="546">
        <f>[4]Фин_модель_база!X2</f>
        <v>17</v>
      </c>
      <c r="X2" s="546">
        <f>[4]Фин_модель_база!Y2</f>
        <v>18</v>
      </c>
      <c r="Y2" s="546">
        <f>[4]Фин_модель_база!Z2</f>
        <v>19</v>
      </c>
      <c r="Z2" s="546">
        <f>[4]Фин_модель_база!AA2</f>
        <v>20</v>
      </c>
      <c r="AA2" s="546">
        <f>[4]Фин_модель_база!AB2</f>
        <v>21</v>
      </c>
      <c r="AB2" s="546">
        <f>[4]Фин_модель_база!AC2</f>
        <v>22</v>
      </c>
      <c r="AC2" s="546">
        <f>[4]Фин_модель_база!AD2</f>
        <v>23</v>
      </c>
      <c r="AD2" s="546">
        <f>[4]Фин_модель_база!AE2</f>
        <v>24</v>
      </c>
      <c r="AE2" s="547">
        <f>[4]Фин_модель_база!AF2</f>
        <v>25</v>
      </c>
      <c r="AF2" s="548"/>
      <c r="AH2" s="1046" t="s">
        <v>614</v>
      </c>
      <c r="AI2" s="1046"/>
      <c r="AJ2" s="1046"/>
      <c r="AK2" s="1046"/>
    </row>
    <row r="3" spans="1:46" x14ac:dyDescent="0.3">
      <c r="A3" s="551"/>
      <c r="B3" s="1047" t="s">
        <v>391</v>
      </c>
      <c r="C3" s="1048"/>
      <c r="D3" s="552" t="s">
        <v>2</v>
      </c>
      <c r="E3" s="551">
        <f>[5]Eeldused_muugi!D3</f>
        <v>2023</v>
      </c>
      <c r="F3" s="551">
        <f>[5]Eeldused_muugi!E3</f>
        <v>2024</v>
      </c>
      <c r="G3" s="551">
        <f>[5]Eeldused_muugi!F3</f>
        <v>2025</v>
      </c>
      <c r="H3" s="553">
        <f>[5]Eeldused_muugi!G3</f>
        <v>2026</v>
      </c>
      <c r="I3" s="553">
        <f>[5]Eeldused_muugi!H3</f>
        <v>2027</v>
      </c>
      <c r="J3" s="553">
        <f>[5]Eeldused_muugi!I3</f>
        <v>2028</v>
      </c>
      <c r="K3" s="553">
        <f>[5]Eeldused_muugi!J3</f>
        <v>2029</v>
      </c>
      <c r="L3" s="553">
        <f>[5]Eeldused_muugi!K3</f>
        <v>2030</v>
      </c>
      <c r="M3" s="553">
        <f>[5]Eeldused_muugi!L3</f>
        <v>2031</v>
      </c>
      <c r="N3" s="553">
        <f>[5]Eeldused_muugi!M3</f>
        <v>2032</v>
      </c>
      <c r="O3" s="553">
        <f>[5]Eeldused_muugi!N3</f>
        <v>2033</v>
      </c>
      <c r="P3" s="553">
        <f>[5]Eeldused_muugi!O3</f>
        <v>2034</v>
      </c>
      <c r="Q3" s="553">
        <f>[5]Eeldused_muugi!P3</f>
        <v>2035</v>
      </c>
      <c r="R3" s="553">
        <f>[5]Eeldused_muugi!Q3</f>
        <v>2036</v>
      </c>
      <c r="S3" s="553">
        <f>[5]Eeldused_muugi!R3</f>
        <v>2037</v>
      </c>
      <c r="T3" s="553">
        <f>[5]Eeldused_muugi!S3</f>
        <v>2038</v>
      </c>
      <c r="U3" s="553">
        <f>[5]Eeldused_muugi!T3</f>
        <v>2039</v>
      </c>
      <c r="V3" s="553">
        <f>[5]Eeldused_muugi!U3</f>
        <v>2040</v>
      </c>
      <c r="W3" s="553">
        <f>[5]Eeldused_muugi!V3</f>
        <v>2041</v>
      </c>
      <c r="X3" s="553">
        <f>[5]Eeldused_muugi!W3</f>
        <v>2042</v>
      </c>
      <c r="Y3" s="553">
        <f>[5]Eeldused_muugi!X3</f>
        <v>2043</v>
      </c>
      <c r="Z3" s="553">
        <f>[5]Eeldused_muugi!Y3</f>
        <v>2044</v>
      </c>
      <c r="AA3" s="553">
        <f>[5]Eeldused_muugi!Z3</f>
        <v>2045</v>
      </c>
      <c r="AB3" s="553">
        <f>[5]Eeldused_muugi!AA3</f>
        <v>2046</v>
      </c>
      <c r="AC3" s="553">
        <f>[5]Eeldused_muugi!AB3</f>
        <v>2047</v>
      </c>
      <c r="AD3" s="553">
        <f>[5]Eeldused_muugi!AC3</f>
        <v>2048</v>
      </c>
      <c r="AE3" s="553">
        <f>[5]Eeldused_muugi!AD3</f>
        <v>2049</v>
      </c>
      <c r="AF3" s="554" t="s">
        <v>319</v>
      </c>
      <c r="AG3" s="543"/>
      <c r="AH3" s="553" t="s">
        <v>615</v>
      </c>
      <c r="AI3" s="555" t="s">
        <v>616</v>
      </c>
      <c r="AJ3" s="553" t="s">
        <v>617</v>
      </c>
      <c r="AK3" s="553" t="s">
        <v>618</v>
      </c>
      <c r="AL3" s="543"/>
      <c r="AM3" s="543"/>
      <c r="AN3" s="543"/>
      <c r="AO3" s="543"/>
      <c r="AP3" s="543"/>
      <c r="AQ3" s="543"/>
      <c r="AR3" s="543"/>
      <c r="AS3" s="543"/>
      <c r="AT3" s="543"/>
    </row>
    <row r="4" spans="1:46" x14ac:dyDescent="0.3">
      <c r="A4" s="556" t="s">
        <v>392</v>
      </c>
      <c r="B4" s="557"/>
      <c r="C4" s="557"/>
      <c r="D4" s="558"/>
      <c r="E4" s="559"/>
      <c r="F4" s="559"/>
      <c r="G4" s="559"/>
      <c r="H4" s="548"/>
      <c r="I4" s="548"/>
      <c r="J4" s="548"/>
      <c r="K4" s="548"/>
      <c r="L4" s="548"/>
      <c r="M4" s="548"/>
      <c r="N4" s="548"/>
      <c r="O4" s="548"/>
      <c r="P4" s="548"/>
      <c r="Q4" s="548"/>
      <c r="R4" s="548"/>
      <c r="S4" s="548"/>
      <c r="T4" s="548"/>
      <c r="U4" s="548"/>
      <c r="V4" s="548"/>
      <c r="W4" s="548"/>
      <c r="X4" s="548"/>
      <c r="Y4" s="548"/>
      <c r="Z4" s="548"/>
      <c r="AA4" s="548"/>
      <c r="AB4" s="548"/>
      <c r="AC4" s="548"/>
      <c r="AD4" s="548"/>
      <c r="AE4" s="548"/>
      <c r="AF4" s="560"/>
      <c r="AG4" s="543"/>
      <c r="AH4" s="548"/>
      <c r="AI4" s="548"/>
      <c r="AJ4" s="548"/>
      <c r="AK4" s="548"/>
      <c r="AL4" s="543"/>
      <c r="AM4" s="543"/>
      <c r="AN4" s="543"/>
      <c r="AO4" s="543"/>
      <c r="AP4" s="543"/>
      <c r="AQ4" s="543"/>
      <c r="AR4" s="543"/>
      <c r="AS4" s="543"/>
      <c r="AT4" s="543"/>
    </row>
    <row r="5" spans="1:46" x14ac:dyDescent="0.3">
      <c r="A5" s="559" t="s">
        <v>393</v>
      </c>
      <c r="B5" s="557"/>
      <c r="C5" s="557"/>
      <c r="D5" s="558"/>
      <c r="E5" s="559"/>
      <c r="F5" s="559"/>
      <c r="G5" s="561">
        <f>SUM(G6:G7)</f>
        <v>8</v>
      </c>
      <c r="H5" s="562">
        <f t="shared" ref="H5:AE5" si="0">SUM(H6:H7)</f>
        <v>8</v>
      </c>
      <c r="I5" s="562">
        <f t="shared" si="0"/>
        <v>8</v>
      </c>
      <c r="J5" s="562">
        <f t="shared" si="0"/>
        <v>8</v>
      </c>
      <c r="K5" s="562">
        <f t="shared" si="0"/>
        <v>8</v>
      </c>
      <c r="L5" s="562">
        <f t="shared" si="0"/>
        <v>8</v>
      </c>
      <c r="M5" s="562">
        <f t="shared" si="0"/>
        <v>8</v>
      </c>
      <c r="N5" s="562">
        <f t="shared" si="0"/>
        <v>8</v>
      </c>
      <c r="O5" s="562">
        <f t="shared" si="0"/>
        <v>8</v>
      </c>
      <c r="P5" s="562">
        <f t="shared" si="0"/>
        <v>8</v>
      </c>
      <c r="Q5" s="562">
        <f t="shared" si="0"/>
        <v>8</v>
      </c>
      <c r="R5" s="562">
        <f t="shared" si="0"/>
        <v>8</v>
      </c>
      <c r="S5" s="562">
        <f t="shared" si="0"/>
        <v>8</v>
      </c>
      <c r="T5" s="562">
        <f t="shared" si="0"/>
        <v>8</v>
      </c>
      <c r="U5" s="562">
        <f t="shared" si="0"/>
        <v>8</v>
      </c>
      <c r="V5" s="562">
        <f t="shared" si="0"/>
        <v>8</v>
      </c>
      <c r="W5" s="562">
        <f t="shared" si="0"/>
        <v>8</v>
      </c>
      <c r="X5" s="562">
        <f t="shared" si="0"/>
        <v>8</v>
      </c>
      <c r="Y5" s="562">
        <f t="shared" si="0"/>
        <v>8</v>
      </c>
      <c r="Z5" s="562">
        <f t="shared" si="0"/>
        <v>8</v>
      </c>
      <c r="AA5" s="562">
        <f t="shared" si="0"/>
        <v>8</v>
      </c>
      <c r="AB5" s="562">
        <f t="shared" si="0"/>
        <v>8</v>
      </c>
      <c r="AC5" s="562">
        <f t="shared" si="0"/>
        <v>8</v>
      </c>
      <c r="AD5" s="562">
        <f t="shared" si="0"/>
        <v>8</v>
      </c>
      <c r="AE5" s="562">
        <f t="shared" si="0"/>
        <v>8</v>
      </c>
      <c r="AF5" s="563">
        <f>S5</f>
        <v>8</v>
      </c>
      <c r="AG5" s="543"/>
      <c r="AH5" s="564">
        <f>I5</f>
        <v>8</v>
      </c>
      <c r="AI5" s="564">
        <f>K5</f>
        <v>8</v>
      </c>
      <c r="AJ5" s="564">
        <f>P5</f>
        <v>8</v>
      </c>
      <c r="AK5" s="564">
        <f>S5</f>
        <v>8</v>
      </c>
      <c r="AL5" s="543"/>
      <c r="AM5" s="543"/>
      <c r="AN5" s="543"/>
      <c r="AO5" s="543"/>
      <c r="AP5" s="543"/>
      <c r="AQ5" s="543"/>
      <c r="AR5" s="543"/>
      <c r="AS5" s="543"/>
      <c r="AT5" s="543"/>
    </row>
    <row r="6" spans="1:46" x14ac:dyDescent="0.3">
      <c r="A6" s="565" t="s">
        <v>394</v>
      </c>
      <c r="B6" s="559"/>
      <c r="C6" s="559"/>
      <c r="D6" s="558" t="s">
        <v>395</v>
      </c>
      <c r="E6" s="566">
        <f>[5]Eeldused_muugi!D18</f>
        <v>0</v>
      </c>
      <c r="F6" s="567">
        <f>[5]Eeldused_muugi!E18</f>
        <v>0</v>
      </c>
      <c r="G6" s="567">
        <f>Eeldused_muugi!F18</f>
        <v>5</v>
      </c>
      <c r="H6" s="567">
        <f>Eeldused_muugi!G18</f>
        <v>5</v>
      </c>
      <c r="I6" s="567">
        <f>Eeldused_muugi!H18</f>
        <v>5</v>
      </c>
      <c r="J6" s="567">
        <f>Eeldused_muugi!I18</f>
        <v>5</v>
      </c>
      <c r="K6" s="567">
        <f>Eeldused_muugi!J18</f>
        <v>5</v>
      </c>
      <c r="L6" s="567">
        <f>Eeldused_muugi!K18</f>
        <v>5</v>
      </c>
      <c r="M6" s="567">
        <f>Eeldused_muugi!L18</f>
        <v>5</v>
      </c>
      <c r="N6" s="567">
        <f>Eeldused_muugi!M18</f>
        <v>5</v>
      </c>
      <c r="O6" s="567">
        <f>Eeldused_muugi!N18</f>
        <v>5</v>
      </c>
      <c r="P6" s="567">
        <f>Eeldused_muugi!O18</f>
        <v>5</v>
      </c>
      <c r="Q6" s="567">
        <f>Eeldused_muugi!P18</f>
        <v>5</v>
      </c>
      <c r="R6" s="567">
        <f>Eeldused_muugi!Q18</f>
        <v>5</v>
      </c>
      <c r="S6" s="567">
        <f>Eeldused_muugi!R18</f>
        <v>5</v>
      </c>
      <c r="T6" s="567">
        <f>Eeldused_muugi!S18</f>
        <v>5</v>
      </c>
      <c r="U6" s="567">
        <f>Eeldused_muugi!T18</f>
        <v>5</v>
      </c>
      <c r="V6" s="567">
        <f>Eeldused_muugi!U18</f>
        <v>5</v>
      </c>
      <c r="W6" s="567">
        <f>Eeldused_muugi!V18</f>
        <v>5</v>
      </c>
      <c r="X6" s="567">
        <f>Eeldused_muugi!W18</f>
        <v>5</v>
      </c>
      <c r="Y6" s="567">
        <f>Eeldused_muugi!X18</f>
        <v>5</v>
      </c>
      <c r="Z6" s="567">
        <f>Eeldused_muugi!Y18</f>
        <v>5</v>
      </c>
      <c r="AA6" s="567">
        <f>Eeldused_muugi!Z18</f>
        <v>5</v>
      </c>
      <c r="AB6" s="567">
        <f>Eeldused_muugi!AA18</f>
        <v>5</v>
      </c>
      <c r="AC6" s="567">
        <f>Eeldused_muugi!AB18</f>
        <v>5</v>
      </c>
      <c r="AD6" s="567">
        <f>Eeldused_muugi!AC18</f>
        <v>5</v>
      </c>
      <c r="AE6" s="567">
        <f>Eeldused_muugi!AD18</f>
        <v>5</v>
      </c>
      <c r="AF6" s="562">
        <f>S6</f>
        <v>5</v>
      </c>
      <c r="AG6" s="543"/>
      <c r="AH6" s="564">
        <f>I6</f>
        <v>5</v>
      </c>
      <c r="AI6" s="564">
        <f>K6</f>
        <v>5</v>
      </c>
      <c r="AJ6" s="564">
        <f>P6</f>
        <v>5</v>
      </c>
      <c r="AK6" s="564">
        <f>S6</f>
        <v>5</v>
      </c>
      <c r="AL6" s="543"/>
      <c r="AM6" s="543"/>
      <c r="AN6" s="543"/>
      <c r="AO6" s="543"/>
      <c r="AP6" s="543"/>
      <c r="AQ6" s="543"/>
      <c r="AR6" s="543"/>
      <c r="AS6" s="543"/>
      <c r="AT6" s="543"/>
    </row>
    <row r="7" spans="1:46" x14ac:dyDescent="0.3">
      <c r="A7" s="565" t="s">
        <v>396</v>
      </c>
      <c r="B7" s="559"/>
      <c r="C7" s="559"/>
      <c r="D7" s="558" t="s">
        <v>395</v>
      </c>
      <c r="E7" s="566">
        <f>[5]Eeldused_muugi!D19</f>
        <v>0</v>
      </c>
      <c r="F7" s="566">
        <f>[5]Eeldused_muugi!E19</f>
        <v>0</v>
      </c>
      <c r="G7" s="566">
        <f>Eeldused_muugi!F19</f>
        <v>3</v>
      </c>
      <c r="H7" s="566">
        <f>Eeldused_muugi!G19</f>
        <v>3</v>
      </c>
      <c r="I7" s="566">
        <f>Eeldused_muugi!H19</f>
        <v>3</v>
      </c>
      <c r="J7" s="566">
        <f>Eeldused_muugi!I19</f>
        <v>3</v>
      </c>
      <c r="K7" s="566">
        <f>Eeldused_muugi!J19</f>
        <v>3</v>
      </c>
      <c r="L7" s="566">
        <f>Eeldused_muugi!K19</f>
        <v>3</v>
      </c>
      <c r="M7" s="566">
        <f>Eeldused_muugi!L19</f>
        <v>3</v>
      </c>
      <c r="N7" s="566">
        <f>Eeldused_muugi!M19</f>
        <v>3</v>
      </c>
      <c r="O7" s="566">
        <f>Eeldused_muugi!N19</f>
        <v>3</v>
      </c>
      <c r="P7" s="566">
        <f>Eeldused_muugi!O19</f>
        <v>3</v>
      </c>
      <c r="Q7" s="566">
        <f>Eeldused_muugi!P19</f>
        <v>3</v>
      </c>
      <c r="R7" s="566">
        <f>Eeldused_muugi!Q19</f>
        <v>3</v>
      </c>
      <c r="S7" s="566">
        <f>Eeldused_muugi!R19</f>
        <v>3</v>
      </c>
      <c r="T7" s="566">
        <f>Eeldused_muugi!S19</f>
        <v>3</v>
      </c>
      <c r="U7" s="566">
        <f>Eeldused_muugi!T19</f>
        <v>3</v>
      </c>
      <c r="V7" s="566">
        <f>Eeldused_muugi!U19</f>
        <v>3</v>
      </c>
      <c r="W7" s="566">
        <f>Eeldused_muugi!V19</f>
        <v>3</v>
      </c>
      <c r="X7" s="566">
        <f>Eeldused_muugi!W19</f>
        <v>3</v>
      </c>
      <c r="Y7" s="566">
        <f>Eeldused_muugi!X19</f>
        <v>3</v>
      </c>
      <c r="Z7" s="566">
        <f>Eeldused_muugi!Y19</f>
        <v>3</v>
      </c>
      <c r="AA7" s="566">
        <f>Eeldused_muugi!Z19</f>
        <v>3</v>
      </c>
      <c r="AB7" s="566">
        <f>Eeldused_muugi!AA19</f>
        <v>3</v>
      </c>
      <c r="AC7" s="566">
        <f>Eeldused_muugi!AB19</f>
        <v>3</v>
      </c>
      <c r="AD7" s="566">
        <f>Eeldused_muugi!AC19</f>
        <v>3</v>
      </c>
      <c r="AE7" s="566">
        <f>Eeldused_muugi!AD19</f>
        <v>3</v>
      </c>
      <c r="AF7" s="564">
        <f>S7</f>
        <v>3</v>
      </c>
      <c r="AG7" s="543"/>
      <c r="AH7" s="564">
        <f>I7</f>
        <v>3</v>
      </c>
      <c r="AI7" s="564">
        <f>K7</f>
        <v>3</v>
      </c>
      <c r="AJ7" s="564">
        <f>P7</f>
        <v>3</v>
      </c>
      <c r="AK7" s="564">
        <f>S7</f>
        <v>3</v>
      </c>
      <c r="AL7" s="543"/>
      <c r="AM7" s="543"/>
      <c r="AN7" s="543"/>
      <c r="AO7" s="543"/>
      <c r="AP7" s="543"/>
      <c r="AQ7" s="543"/>
      <c r="AR7" s="543"/>
      <c r="AS7" s="543"/>
      <c r="AT7" s="543"/>
    </row>
    <row r="8" spans="1:46" x14ac:dyDescent="0.3">
      <c r="A8" s="559" t="s">
        <v>397</v>
      </c>
      <c r="B8" s="568">
        <v>1000000</v>
      </c>
      <c r="C8" s="569" t="s">
        <v>398</v>
      </c>
      <c r="D8" s="558" t="s">
        <v>399</v>
      </c>
      <c r="E8" s="570"/>
      <c r="F8" s="570"/>
      <c r="G8" s="570">
        <f>$B$8*G6</f>
        <v>5000000</v>
      </c>
      <c r="H8" s="571"/>
      <c r="I8" s="571"/>
      <c r="J8" s="571"/>
      <c r="K8" s="571">
        <f>$B$8*K6</f>
        <v>5000000</v>
      </c>
      <c r="L8" s="571"/>
      <c r="M8" s="571"/>
      <c r="N8" s="571"/>
      <c r="O8" s="571">
        <f>$B$8*O6</f>
        <v>5000000</v>
      </c>
      <c r="P8" s="571"/>
      <c r="Q8" s="571"/>
      <c r="R8" s="571"/>
      <c r="S8" s="571">
        <f>$B$8*S6</f>
        <v>5000000</v>
      </c>
      <c r="T8" s="571"/>
      <c r="U8" s="571"/>
      <c r="V8" s="571"/>
      <c r="W8" s="571">
        <f>$B$8*W6</f>
        <v>5000000</v>
      </c>
      <c r="X8" s="571"/>
      <c r="Y8" s="571"/>
      <c r="Z8" s="571"/>
      <c r="AA8" s="571">
        <f>$B$8*AA6</f>
        <v>5000000</v>
      </c>
      <c r="AB8" s="571"/>
      <c r="AC8" s="571"/>
      <c r="AD8" s="571"/>
      <c r="AE8" s="571">
        <f>$B$8*AE6</f>
        <v>5000000</v>
      </c>
      <c r="AF8" s="572">
        <f>SUM(E8:S8)</f>
        <v>20000000</v>
      </c>
      <c r="AG8" s="543"/>
      <c r="AH8" s="572">
        <f>SUM($G8:I8)</f>
        <v>5000000</v>
      </c>
      <c r="AI8" s="572">
        <f>SUM($G8:K8)</f>
        <v>10000000</v>
      </c>
      <c r="AJ8" s="572">
        <f>SUM($G8:P8)</f>
        <v>15000000</v>
      </c>
      <c r="AK8" s="572">
        <f>SUM($G8:S8)</f>
        <v>20000000</v>
      </c>
      <c r="AL8" s="543"/>
      <c r="AM8" s="543"/>
      <c r="AN8" s="543"/>
      <c r="AO8" s="543"/>
      <c r="AP8" s="543"/>
      <c r="AQ8" s="543"/>
      <c r="AR8" s="543"/>
      <c r="AS8" s="543"/>
      <c r="AT8" s="543"/>
    </row>
    <row r="9" spans="1:46" ht="26.25" customHeight="1" x14ac:dyDescent="0.3">
      <c r="A9" s="559" t="s">
        <v>400</v>
      </c>
      <c r="B9" s="568">
        <f>[5]Stat!D47*1000</f>
        <v>170600</v>
      </c>
      <c r="C9" s="569" t="s">
        <v>401</v>
      </c>
      <c r="D9" s="558" t="s">
        <v>399</v>
      </c>
      <c r="E9" s="573">
        <f t="shared" ref="E9:F9" si="1">$B$9*E12</f>
        <v>0</v>
      </c>
      <c r="F9" s="573">
        <f t="shared" si="1"/>
        <v>0</v>
      </c>
      <c r="G9" s="573">
        <f>$B$9*G12</f>
        <v>18595400</v>
      </c>
      <c r="H9" s="572">
        <f t="shared" ref="H9:AE9" si="2">$B$9*H12</f>
        <v>18595400</v>
      </c>
      <c r="I9" s="572">
        <f t="shared" si="2"/>
        <v>18595400</v>
      </c>
      <c r="J9" s="572">
        <f t="shared" si="2"/>
        <v>18595400</v>
      </c>
      <c r="K9" s="572">
        <f t="shared" si="2"/>
        <v>18595400</v>
      </c>
      <c r="L9" s="572">
        <f t="shared" si="2"/>
        <v>18595400</v>
      </c>
      <c r="M9" s="572">
        <f t="shared" si="2"/>
        <v>18595400</v>
      </c>
      <c r="N9" s="572">
        <f t="shared" si="2"/>
        <v>18595400</v>
      </c>
      <c r="O9" s="572">
        <f t="shared" si="2"/>
        <v>18595400</v>
      </c>
      <c r="P9" s="572">
        <f t="shared" si="2"/>
        <v>18595400</v>
      </c>
      <c r="Q9" s="572">
        <f t="shared" si="2"/>
        <v>18595400</v>
      </c>
      <c r="R9" s="572">
        <f t="shared" si="2"/>
        <v>18595400</v>
      </c>
      <c r="S9" s="572">
        <f t="shared" si="2"/>
        <v>18595400</v>
      </c>
      <c r="T9" s="572">
        <f t="shared" si="2"/>
        <v>18595400</v>
      </c>
      <c r="U9" s="572">
        <f t="shared" si="2"/>
        <v>18595400</v>
      </c>
      <c r="V9" s="572">
        <f t="shared" si="2"/>
        <v>18595400</v>
      </c>
      <c r="W9" s="572">
        <f t="shared" si="2"/>
        <v>18595400</v>
      </c>
      <c r="X9" s="572">
        <f t="shared" si="2"/>
        <v>18595400</v>
      </c>
      <c r="Y9" s="572">
        <f t="shared" si="2"/>
        <v>18595400</v>
      </c>
      <c r="Z9" s="572">
        <f t="shared" si="2"/>
        <v>18595400</v>
      </c>
      <c r="AA9" s="572">
        <f t="shared" si="2"/>
        <v>18595400</v>
      </c>
      <c r="AB9" s="572">
        <f t="shared" si="2"/>
        <v>18595400</v>
      </c>
      <c r="AC9" s="572">
        <f t="shared" si="2"/>
        <v>18595400</v>
      </c>
      <c r="AD9" s="572">
        <f t="shared" si="2"/>
        <v>18595400</v>
      </c>
      <c r="AE9" s="572">
        <f t="shared" si="2"/>
        <v>18595400</v>
      </c>
      <c r="AF9" s="572">
        <f>SUM(E9:S9)</f>
        <v>241740200</v>
      </c>
      <c r="AG9" s="543"/>
      <c r="AH9" s="572">
        <f>SUM($G9:I9)</f>
        <v>55786200</v>
      </c>
      <c r="AI9" s="572">
        <f>SUM($G9:K9)</f>
        <v>92977000</v>
      </c>
      <c r="AJ9" s="572">
        <f>SUM($G9:P9)</f>
        <v>185954000</v>
      </c>
      <c r="AK9" s="572">
        <f>SUM($G9:S9)</f>
        <v>241740200</v>
      </c>
      <c r="AL9" s="543"/>
      <c r="AM9" s="543"/>
      <c r="AN9" s="543"/>
      <c r="AO9" s="543"/>
      <c r="AP9" s="543"/>
      <c r="AQ9" s="543"/>
      <c r="AR9" s="543"/>
      <c r="AS9" s="543"/>
      <c r="AT9" s="543"/>
    </row>
    <row r="10" spans="1:46" x14ac:dyDescent="0.3">
      <c r="A10" s="559" t="s">
        <v>402</v>
      </c>
      <c r="B10" s="574">
        <v>0.8</v>
      </c>
      <c r="C10" s="569" t="s">
        <v>403</v>
      </c>
      <c r="D10" s="558" t="s">
        <v>399</v>
      </c>
      <c r="E10" s="570">
        <f>$B$10*E9</f>
        <v>0</v>
      </c>
      <c r="F10" s="570">
        <f t="shared" ref="F10:AE10" si="3">$B$10*F9</f>
        <v>0</v>
      </c>
      <c r="G10" s="570">
        <f t="shared" si="3"/>
        <v>14876320</v>
      </c>
      <c r="H10" s="571">
        <f t="shared" si="3"/>
        <v>14876320</v>
      </c>
      <c r="I10" s="571">
        <f t="shared" si="3"/>
        <v>14876320</v>
      </c>
      <c r="J10" s="571">
        <f t="shared" si="3"/>
        <v>14876320</v>
      </c>
      <c r="K10" s="571">
        <f t="shared" si="3"/>
        <v>14876320</v>
      </c>
      <c r="L10" s="571">
        <f t="shared" si="3"/>
        <v>14876320</v>
      </c>
      <c r="M10" s="571">
        <f t="shared" si="3"/>
        <v>14876320</v>
      </c>
      <c r="N10" s="571">
        <f t="shared" si="3"/>
        <v>14876320</v>
      </c>
      <c r="O10" s="571">
        <f t="shared" si="3"/>
        <v>14876320</v>
      </c>
      <c r="P10" s="571">
        <f t="shared" si="3"/>
        <v>14876320</v>
      </c>
      <c r="Q10" s="571">
        <f t="shared" si="3"/>
        <v>14876320</v>
      </c>
      <c r="R10" s="571">
        <f t="shared" si="3"/>
        <v>14876320</v>
      </c>
      <c r="S10" s="571">
        <f t="shared" si="3"/>
        <v>14876320</v>
      </c>
      <c r="T10" s="571">
        <f t="shared" si="3"/>
        <v>14876320</v>
      </c>
      <c r="U10" s="571">
        <f t="shared" si="3"/>
        <v>14876320</v>
      </c>
      <c r="V10" s="571">
        <f t="shared" si="3"/>
        <v>14876320</v>
      </c>
      <c r="W10" s="571">
        <f t="shared" si="3"/>
        <v>14876320</v>
      </c>
      <c r="X10" s="571">
        <f t="shared" si="3"/>
        <v>14876320</v>
      </c>
      <c r="Y10" s="571">
        <f t="shared" si="3"/>
        <v>14876320</v>
      </c>
      <c r="Z10" s="571">
        <f t="shared" si="3"/>
        <v>14876320</v>
      </c>
      <c r="AA10" s="571">
        <f t="shared" si="3"/>
        <v>14876320</v>
      </c>
      <c r="AB10" s="571">
        <f t="shared" si="3"/>
        <v>14876320</v>
      </c>
      <c r="AC10" s="571">
        <f t="shared" si="3"/>
        <v>14876320</v>
      </c>
      <c r="AD10" s="571">
        <f t="shared" si="3"/>
        <v>14876320</v>
      </c>
      <c r="AE10" s="571">
        <f t="shared" si="3"/>
        <v>14876320</v>
      </c>
      <c r="AF10" s="572">
        <f>SUM(E10:S10)</f>
        <v>193392160</v>
      </c>
      <c r="AG10" s="543"/>
      <c r="AH10" s="572">
        <f>SUM($G10:I10)</f>
        <v>44628960</v>
      </c>
      <c r="AI10" s="572">
        <f>SUM($G10:K10)</f>
        <v>74381600</v>
      </c>
      <c r="AJ10" s="572">
        <f>SUM($G10:P10)</f>
        <v>148763200</v>
      </c>
      <c r="AK10" s="572">
        <f>SUM($G10:S10)</f>
        <v>193392160</v>
      </c>
      <c r="AL10" s="543"/>
      <c r="AM10" s="543"/>
      <c r="AN10" s="543"/>
      <c r="AO10" s="543"/>
      <c r="AP10" s="543"/>
      <c r="AQ10" s="543"/>
      <c r="AR10" s="543"/>
      <c r="AS10" s="543"/>
      <c r="AT10" s="543"/>
    </row>
    <row r="11" spans="1:46" ht="23.5" x14ac:dyDescent="0.3">
      <c r="A11" s="559" t="s">
        <v>404</v>
      </c>
      <c r="B11" s="568">
        <f>[5]Stat!D48*1000</f>
        <v>35599.999999999993</v>
      </c>
      <c r="C11" s="569" t="s">
        <v>401</v>
      </c>
      <c r="D11" s="558" t="s">
        <v>399</v>
      </c>
      <c r="E11" s="570">
        <f t="shared" ref="E11:F11" si="4">E12*$B$11</f>
        <v>0</v>
      </c>
      <c r="F11" s="570">
        <f t="shared" si="4"/>
        <v>0</v>
      </c>
      <c r="G11" s="570">
        <f>G12*$B$11</f>
        <v>3880399.9999999991</v>
      </c>
      <c r="H11" s="571">
        <f t="shared" ref="H11:AE11" si="5">H12*$B$11</f>
        <v>3880399.9999999991</v>
      </c>
      <c r="I11" s="571">
        <f t="shared" si="5"/>
        <v>3880399.9999999991</v>
      </c>
      <c r="J11" s="571">
        <f t="shared" si="5"/>
        <v>3880399.9999999991</v>
      </c>
      <c r="K11" s="571">
        <f t="shared" si="5"/>
        <v>3880399.9999999991</v>
      </c>
      <c r="L11" s="571">
        <f t="shared" si="5"/>
        <v>3880399.9999999991</v>
      </c>
      <c r="M11" s="571">
        <f t="shared" si="5"/>
        <v>3880399.9999999991</v>
      </c>
      <c r="N11" s="571">
        <f t="shared" si="5"/>
        <v>3880399.9999999991</v>
      </c>
      <c r="O11" s="571">
        <f t="shared" si="5"/>
        <v>3880399.9999999991</v>
      </c>
      <c r="P11" s="571">
        <f t="shared" si="5"/>
        <v>3880399.9999999991</v>
      </c>
      <c r="Q11" s="571">
        <f t="shared" si="5"/>
        <v>3880399.9999999991</v>
      </c>
      <c r="R11" s="571">
        <f t="shared" si="5"/>
        <v>3880399.9999999991</v>
      </c>
      <c r="S11" s="571">
        <f t="shared" si="5"/>
        <v>3880399.9999999991</v>
      </c>
      <c r="T11" s="571">
        <f t="shared" si="5"/>
        <v>3880399.9999999991</v>
      </c>
      <c r="U11" s="571">
        <f t="shared" si="5"/>
        <v>3880399.9999999991</v>
      </c>
      <c r="V11" s="571">
        <f t="shared" si="5"/>
        <v>3880399.9999999991</v>
      </c>
      <c r="W11" s="571">
        <f t="shared" si="5"/>
        <v>3880399.9999999991</v>
      </c>
      <c r="X11" s="571">
        <f t="shared" si="5"/>
        <v>3880399.9999999991</v>
      </c>
      <c r="Y11" s="571">
        <f t="shared" si="5"/>
        <v>3880399.9999999991</v>
      </c>
      <c r="Z11" s="571">
        <f t="shared" si="5"/>
        <v>3880399.9999999991</v>
      </c>
      <c r="AA11" s="571">
        <f t="shared" si="5"/>
        <v>3880399.9999999991</v>
      </c>
      <c r="AB11" s="571">
        <f t="shared" si="5"/>
        <v>3880399.9999999991</v>
      </c>
      <c r="AC11" s="571">
        <f t="shared" si="5"/>
        <v>3880399.9999999991</v>
      </c>
      <c r="AD11" s="571">
        <f t="shared" si="5"/>
        <v>3880399.9999999991</v>
      </c>
      <c r="AE11" s="571">
        <f t="shared" si="5"/>
        <v>3880399.9999999991</v>
      </c>
      <c r="AF11" s="572">
        <f>SUM(E11:S11)</f>
        <v>50445199.999999993</v>
      </c>
      <c r="AG11" s="543"/>
      <c r="AH11" s="572">
        <f>SUM($G11:I11)</f>
        <v>11641199.999999996</v>
      </c>
      <c r="AI11" s="572">
        <f>SUM($G11:K11)</f>
        <v>19401999.999999996</v>
      </c>
      <c r="AJ11" s="572">
        <f>SUM($G11:P11)</f>
        <v>38803999.999999993</v>
      </c>
      <c r="AK11" s="572">
        <f>SUM($G11:S11)</f>
        <v>50445199.999999993</v>
      </c>
      <c r="AL11" s="543"/>
      <c r="AM11" s="543"/>
      <c r="AN11" s="543"/>
      <c r="AO11" s="543"/>
      <c r="AP11" s="543"/>
      <c r="AQ11" s="543"/>
      <c r="AR11" s="543"/>
      <c r="AS11" s="543"/>
      <c r="AT11" s="543"/>
    </row>
    <row r="12" spans="1:46" x14ac:dyDescent="0.3">
      <c r="A12" s="575" t="s">
        <v>405</v>
      </c>
      <c r="B12" s="559"/>
      <c r="C12" s="559"/>
      <c r="D12" s="558" t="s">
        <v>406</v>
      </c>
      <c r="E12" s="568">
        <f>[5]Eeldused_muugi!D22</f>
        <v>0</v>
      </c>
      <c r="F12" s="568">
        <f>[5]Eeldused_muugi!E22</f>
        <v>0</v>
      </c>
      <c r="G12" s="568">
        <f>Eeldused_muugi!F22</f>
        <v>109</v>
      </c>
      <c r="H12" s="568">
        <f>Eeldused_muugi!G22</f>
        <v>109</v>
      </c>
      <c r="I12" s="568">
        <f>Eeldused_muugi!H22</f>
        <v>109</v>
      </c>
      <c r="J12" s="568">
        <f>Eeldused_muugi!I22</f>
        <v>109</v>
      </c>
      <c r="K12" s="568">
        <f>Eeldused_muugi!J22</f>
        <v>109</v>
      </c>
      <c r="L12" s="568">
        <f>Eeldused_muugi!K22</f>
        <v>109</v>
      </c>
      <c r="M12" s="568">
        <f>Eeldused_muugi!L22</f>
        <v>109</v>
      </c>
      <c r="N12" s="568">
        <f>Eeldused_muugi!M22</f>
        <v>109</v>
      </c>
      <c r="O12" s="568">
        <f>Eeldused_muugi!N22</f>
        <v>109</v>
      </c>
      <c r="P12" s="568">
        <f>Eeldused_muugi!O22</f>
        <v>109</v>
      </c>
      <c r="Q12" s="568">
        <f>Eeldused_muugi!P22</f>
        <v>109</v>
      </c>
      <c r="R12" s="568">
        <f>Eeldused_muugi!Q22</f>
        <v>109</v>
      </c>
      <c r="S12" s="568">
        <f>Eeldused_muugi!R22</f>
        <v>109</v>
      </c>
      <c r="T12" s="568">
        <f>Eeldused_muugi!S22</f>
        <v>109</v>
      </c>
      <c r="U12" s="568">
        <f>Eeldused_muugi!T22</f>
        <v>109</v>
      </c>
      <c r="V12" s="568">
        <f>Eeldused_muugi!U22</f>
        <v>109</v>
      </c>
      <c r="W12" s="568">
        <f>Eeldused_muugi!V22</f>
        <v>109</v>
      </c>
      <c r="X12" s="568">
        <f>Eeldused_muugi!W22</f>
        <v>109</v>
      </c>
      <c r="Y12" s="568">
        <f>Eeldused_muugi!X22</f>
        <v>109</v>
      </c>
      <c r="Z12" s="568">
        <f>Eeldused_muugi!Y22</f>
        <v>109</v>
      </c>
      <c r="AA12" s="568">
        <f>Eeldused_muugi!Z22</f>
        <v>109</v>
      </c>
      <c r="AB12" s="568">
        <f>Eeldused_muugi!AA22</f>
        <v>109</v>
      </c>
      <c r="AC12" s="568">
        <f>Eeldused_muugi!AB22</f>
        <v>109</v>
      </c>
      <c r="AD12" s="568">
        <f>Eeldused_muugi!AC22</f>
        <v>109</v>
      </c>
      <c r="AE12" s="568">
        <f>Eeldused_muugi!AD22</f>
        <v>109</v>
      </c>
      <c r="AF12" s="577">
        <f>S12</f>
        <v>109</v>
      </c>
      <c r="AG12" s="543"/>
      <c r="AH12" s="564">
        <f>I12</f>
        <v>109</v>
      </c>
      <c r="AI12" s="564">
        <f>K12</f>
        <v>109</v>
      </c>
      <c r="AJ12" s="564">
        <f>P12</f>
        <v>109</v>
      </c>
      <c r="AK12" s="564">
        <f>S12</f>
        <v>109</v>
      </c>
      <c r="AL12" s="543"/>
      <c r="AM12" s="543"/>
      <c r="AN12" s="543"/>
      <c r="AO12" s="543"/>
      <c r="AP12" s="543"/>
      <c r="AQ12" s="543"/>
      <c r="AR12" s="543"/>
      <c r="AS12" s="543"/>
      <c r="AT12" s="543"/>
    </row>
    <row r="13" spans="1:46" ht="16.5" customHeight="1" x14ac:dyDescent="0.3">
      <c r="A13" s="559" t="s">
        <v>407</v>
      </c>
      <c r="B13" s="578">
        <f>[5]Stat!C25</f>
        <v>1402</v>
      </c>
      <c r="C13" s="569" t="s">
        <v>408</v>
      </c>
      <c r="D13" s="558" t="s">
        <v>399</v>
      </c>
      <c r="E13" s="570">
        <f t="shared" ref="E13:F13" si="6">E12*$B$13*12</f>
        <v>0</v>
      </c>
      <c r="F13" s="570">
        <f t="shared" si="6"/>
        <v>0</v>
      </c>
      <c r="G13" s="570">
        <f>G12*$B$13*12</f>
        <v>1833816</v>
      </c>
      <c r="H13" s="571">
        <f t="shared" ref="H13:AE13" si="7">H12*$B$13*12</f>
        <v>1833816</v>
      </c>
      <c r="I13" s="571">
        <f t="shared" si="7"/>
        <v>1833816</v>
      </c>
      <c r="J13" s="571">
        <f t="shared" si="7"/>
        <v>1833816</v>
      </c>
      <c r="K13" s="571">
        <f t="shared" si="7"/>
        <v>1833816</v>
      </c>
      <c r="L13" s="571">
        <f t="shared" si="7"/>
        <v>1833816</v>
      </c>
      <c r="M13" s="571">
        <f t="shared" si="7"/>
        <v>1833816</v>
      </c>
      <c r="N13" s="571">
        <f t="shared" si="7"/>
        <v>1833816</v>
      </c>
      <c r="O13" s="571">
        <f t="shared" si="7"/>
        <v>1833816</v>
      </c>
      <c r="P13" s="571">
        <f t="shared" si="7"/>
        <v>1833816</v>
      </c>
      <c r="Q13" s="571">
        <f t="shared" si="7"/>
        <v>1833816</v>
      </c>
      <c r="R13" s="571">
        <f t="shared" si="7"/>
        <v>1833816</v>
      </c>
      <c r="S13" s="571">
        <f t="shared" si="7"/>
        <v>1833816</v>
      </c>
      <c r="T13" s="571">
        <f t="shared" si="7"/>
        <v>1833816</v>
      </c>
      <c r="U13" s="571">
        <f t="shared" si="7"/>
        <v>1833816</v>
      </c>
      <c r="V13" s="571">
        <f t="shared" si="7"/>
        <v>1833816</v>
      </c>
      <c r="W13" s="571">
        <f t="shared" si="7"/>
        <v>1833816</v>
      </c>
      <c r="X13" s="571">
        <f t="shared" si="7"/>
        <v>1833816</v>
      </c>
      <c r="Y13" s="571">
        <f t="shared" si="7"/>
        <v>1833816</v>
      </c>
      <c r="Z13" s="571">
        <f t="shared" si="7"/>
        <v>1833816</v>
      </c>
      <c r="AA13" s="571">
        <f t="shared" si="7"/>
        <v>1833816</v>
      </c>
      <c r="AB13" s="571">
        <f t="shared" si="7"/>
        <v>1833816</v>
      </c>
      <c r="AC13" s="571">
        <f t="shared" si="7"/>
        <v>1833816</v>
      </c>
      <c r="AD13" s="571">
        <f t="shared" si="7"/>
        <v>1833816</v>
      </c>
      <c r="AE13" s="571">
        <f t="shared" si="7"/>
        <v>1833816</v>
      </c>
      <c r="AF13" s="572">
        <f t="shared" ref="AF13:AF19" si="8">SUM(E13:S13)</f>
        <v>23839608</v>
      </c>
      <c r="AG13" s="543"/>
      <c r="AH13" s="572">
        <f>SUM($G13:I13)</f>
        <v>5501448</v>
      </c>
      <c r="AI13" s="572">
        <f>SUM($G13:K13)</f>
        <v>9169080</v>
      </c>
      <c r="AJ13" s="572">
        <f>SUM($G13:P13)</f>
        <v>18338160</v>
      </c>
      <c r="AK13" s="572">
        <f>SUM($G13:S13)</f>
        <v>23839608</v>
      </c>
      <c r="AL13" s="543"/>
      <c r="AM13" s="543"/>
      <c r="AN13" s="543"/>
      <c r="AO13" s="543"/>
      <c r="AP13" s="543"/>
      <c r="AQ13" s="543"/>
      <c r="AR13" s="543"/>
      <c r="AS13" s="543"/>
      <c r="AT13" s="543"/>
    </row>
    <row r="14" spans="1:46" x14ac:dyDescent="0.3">
      <c r="A14" s="559" t="s">
        <v>409</v>
      </c>
      <c r="B14" s="579">
        <v>0.33800000000000002</v>
      </c>
      <c r="C14" s="579"/>
      <c r="D14" s="558" t="s">
        <v>399</v>
      </c>
      <c r="E14" s="580">
        <f>([5]Maksumäärad!B3+[5]Maksumäärad!B4)*E13</f>
        <v>0</v>
      </c>
      <c r="F14" s="580">
        <f>([5]Maksumäärad!C3+[5]Maksumäärad!C4)*F13</f>
        <v>0</v>
      </c>
      <c r="G14" s="580">
        <f>$B$14*G13</f>
        <v>619829.80800000008</v>
      </c>
      <c r="H14" s="581">
        <f t="shared" ref="H14:AE14" si="9">$B$14*H13</f>
        <v>619829.80800000008</v>
      </c>
      <c r="I14" s="581">
        <f t="shared" si="9"/>
        <v>619829.80800000008</v>
      </c>
      <c r="J14" s="581">
        <f t="shared" si="9"/>
        <v>619829.80800000008</v>
      </c>
      <c r="K14" s="581">
        <f t="shared" si="9"/>
        <v>619829.80800000008</v>
      </c>
      <c r="L14" s="581">
        <f t="shared" si="9"/>
        <v>619829.80800000008</v>
      </c>
      <c r="M14" s="581">
        <f t="shared" si="9"/>
        <v>619829.80800000008</v>
      </c>
      <c r="N14" s="581">
        <f t="shared" si="9"/>
        <v>619829.80800000008</v>
      </c>
      <c r="O14" s="581">
        <f t="shared" si="9"/>
        <v>619829.80800000008</v>
      </c>
      <c r="P14" s="581">
        <f t="shared" si="9"/>
        <v>619829.80800000008</v>
      </c>
      <c r="Q14" s="581">
        <f t="shared" si="9"/>
        <v>619829.80800000008</v>
      </c>
      <c r="R14" s="581">
        <f t="shared" si="9"/>
        <v>619829.80800000008</v>
      </c>
      <c r="S14" s="581">
        <f t="shared" si="9"/>
        <v>619829.80800000008</v>
      </c>
      <c r="T14" s="581">
        <f t="shared" si="9"/>
        <v>619829.80800000008</v>
      </c>
      <c r="U14" s="581">
        <f t="shared" si="9"/>
        <v>619829.80800000008</v>
      </c>
      <c r="V14" s="581">
        <f t="shared" si="9"/>
        <v>619829.80800000008</v>
      </c>
      <c r="W14" s="581">
        <f t="shared" si="9"/>
        <v>619829.80800000008</v>
      </c>
      <c r="X14" s="581">
        <f t="shared" si="9"/>
        <v>619829.80800000008</v>
      </c>
      <c r="Y14" s="581">
        <f t="shared" si="9"/>
        <v>619829.80800000008</v>
      </c>
      <c r="Z14" s="581">
        <f t="shared" si="9"/>
        <v>619829.80800000008</v>
      </c>
      <c r="AA14" s="581">
        <f t="shared" si="9"/>
        <v>619829.80800000008</v>
      </c>
      <c r="AB14" s="581">
        <f t="shared" si="9"/>
        <v>619829.80800000008</v>
      </c>
      <c r="AC14" s="581">
        <f t="shared" si="9"/>
        <v>619829.80800000008</v>
      </c>
      <c r="AD14" s="581">
        <f t="shared" si="9"/>
        <v>619829.80800000008</v>
      </c>
      <c r="AE14" s="581">
        <f t="shared" si="9"/>
        <v>619829.80800000008</v>
      </c>
      <c r="AF14" s="572">
        <f t="shared" si="8"/>
        <v>8057787.5040000016</v>
      </c>
      <c r="AG14" s="543"/>
      <c r="AH14" s="572">
        <f>SUM($G14:I14)</f>
        <v>1859489.4240000001</v>
      </c>
      <c r="AI14" s="572">
        <f>SUM($G14:K14)</f>
        <v>3099149.0400000005</v>
      </c>
      <c r="AJ14" s="572">
        <f>SUM($G14:P14)</f>
        <v>6198298.080000001</v>
      </c>
      <c r="AK14" s="572">
        <f>SUM($G14:S14)</f>
        <v>8057787.5040000016</v>
      </c>
      <c r="AL14" s="543"/>
      <c r="AM14" s="543"/>
      <c r="AN14" s="543"/>
      <c r="AO14" s="543"/>
      <c r="AP14" s="543"/>
      <c r="AQ14" s="543"/>
      <c r="AR14" s="543"/>
      <c r="AS14" s="543"/>
      <c r="AT14" s="543"/>
    </row>
    <row r="15" spans="1:46" x14ac:dyDescent="0.3">
      <c r="A15" s="559" t="s">
        <v>410</v>
      </c>
      <c r="B15" s="574">
        <v>0.2</v>
      </c>
      <c r="C15" s="574"/>
      <c r="D15" s="558" t="s">
        <v>399</v>
      </c>
      <c r="E15" s="580"/>
      <c r="F15" s="580"/>
      <c r="G15" s="580">
        <f>(G13/G12/12-G13*0.02/G12/12-500)*$B$15*12*G12</f>
        <v>228627.93600000005</v>
      </c>
      <c r="H15" s="581">
        <f t="shared" ref="H15:AE15" si="10">(H13/H12/12-H13*0.02/H12/12-500)*$B$15*12*H12</f>
        <v>228627.93600000005</v>
      </c>
      <c r="I15" s="581">
        <f t="shared" si="10"/>
        <v>228627.93600000005</v>
      </c>
      <c r="J15" s="581">
        <f t="shared" si="10"/>
        <v>228627.93600000005</v>
      </c>
      <c r="K15" s="581">
        <f t="shared" si="10"/>
        <v>228627.93600000005</v>
      </c>
      <c r="L15" s="581">
        <f t="shared" si="10"/>
        <v>228627.93600000005</v>
      </c>
      <c r="M15" s="581">
        <f t="shared" si="10"/>
        <v>228627.93600000005</v>
      </c>
      <c r="N15" s="581">
        <f t="shared" si="10"/>
        <v>228627.93600000005</v>
      </c>
      <c r="O15" s="581">
        <f t="shared" si="10"/>
        <v>228627.93600000005</v>
      </c>
      <c r="P15" s="581">
        <f t="shared" si="10"/>
        <v>228627.93600000005</v>
      </c>
      <c r="Q15" s="581">
        <f t="shared" si="10"/>
        <v>228627.93600000005</v>
      </c>
      <c r="R15" s="581">
        <f t="shared" si="10"/>
        <v>228627.93600000005</v>
      </c>
      <c r="S15" s="581">
        <f t="shared" si="10"/>
        <v>228627.93600000005</v>
      </c>
      <c r="T15" s="581">
        <f t="shared" si="10"/>
        <v>228627.93600000005</v>
      </c>
      <c r="U15" s="581">
        <f t="shared" si="10"/>
        <v>228627.93600000005</v>
      </c>
      <c r="V15" s="581">
        <f t="shared" si="10"/>
        <v>228627.93600000005</v>
      </c>
      <c r="W15" s="581">
        <f t="shared" si="10"/>
        <v>228627.93600000005</v>
      </c>
      <c r="X15" s="581">
        <f t="shared" si="10"/>
        <v>228627.93600000005</v>
      </c>
      <c r="Y15" s="581">
        <f t="shared" si="10"/>
        <v>228627.93600000005</v>
      </c>
      <c r="Z15" s="581">
        <f t="shared" si="10"/>
        <v>228627.93600000005</v>
      </c>
      <c r="AA15" s="581">
        <f t="shared" si="10"/>
        <v>228627.93600000005</v>
      </c>
      <c r="AB15" s="581">
        <f t="shared" si="10"/>
        <v>228627.93600000005</v>
      </c>
      <c r="AC15" s="581">
        <f t="shared" si="10"/>
        <v>228627.93600000005</v>
      </c>
      <c r="AD15" s="581">
        <f t="shared" si="10"/>
        <v>228627.93600000005</v>
      </c>
      <c r="AE15" s="581">
        <f t="shared" si="10"/>
        <v>228627.93600000005</v>
      </c>
      <c r="AF15" s="572">
        <f t="shared" si="8"/>
        <v>2972163.168000001</v>
      </c>
      <c r="AG15" s="543"/>
      <c r="AH15" s="572">
        <f>SUM($G15:I15)</f>
        <v>685883.80800000019</v>
      </c>
      <c r="AI15" s="572">
        <f>SUM($G15:K15)</f>
        <v>1143139.6800000002</v>
      </c>
      <c r="AJ15" s="572">
        <f>SUM($G15:P15)</f>
        <v>2286279.3600000003</v>
      </c>
      <c r="AK15" s="572">
        <f>SUM($G15:S15)</f>
        <v>2972163.168000001</v>
      </c>
      <c r="AL15" s="543"/>
      <c r="AM15" s="543"/>
      <c r="AN15" s="543"/>
      <c r="AO15" s="543"/>
      <c r="AP15" s="543"/>
      <c r="AQ15" s="543"/>
      <c r="AR15" s="543"/>
      <c r="AS15" s="543"/>
      <c r="AT15" s="543"/>
    </row>
    <row r="16" spans="1:46" x14ac:dyDescent="0.3">
      <c r="A16" s="582" t="s">
        <v>411</v>
      </c>
      <c r="B16" s="582"/>
      <c r="C16" s="582"/>
      <c r="D16" s="558" t="s">
        <v>399</v>
      </c>
      <c r="E16" s="580">
        <f t="shared" ref="E16:AE16" si="11">E15-E17</f>
        <v>0</v>
      </c>
      <c r="F16" s="580">
        <f t="shared" si="11"/>
        <v>0</v>
      </c>
      <c r="G16" s="580">
        <f t="shared" si="11"/>
        <v>96366.675024000026</v>
      </c>
      <c r="H16" s="581">
        <f t="shared" si="11"/>
        <v>96366.675024000026</v>
      </c>
      <c r="I16" s="581">
        <f t="shared" si="11"/>
        <v>96366.675024000026</v>
      </c>
      <c r="J16" s="581">
        <f t="shared" si="11"/>
        <v>96366.675024000026</v>
      </c>
      <c r="K16" s="581">
        <f t="shared" si="11"/>
        <v>96366.675024000026</v>
      </c>
      <c r="L16" s="581">
        <f t="shared" si="11"/>
        <v>96366.675024000026</v>
      </c>
      <c r="M16" s="581">
        <f t="shared" si="11"/>
        <v>96366.675024000026</v>
      </c>
      <c r="N16" s="581">
        <f t="shared" si="11"/>
        <v>96366.675024000026</v>
      </c>
      <c r="O16" s="581">
        <f t="shared" si="11"/>
        <v>96366.675024000026</v>
      </c>
      <c r="P16" s="581">
        <f t="shared" si="11"/>
        <v>96366.675024000026</v>
      </c>
      <c r="Q16" s="581">
        <f t="shared" si="11"/>
        <v>96366.675024000026</v>
      </c>
      <c r="R16" s="581">
        <f t="shared" si="11"/>
        <v>96366.675024000026</v>
      </c>
      <c r="S16" s="581">
        <f t="shared" si="11"/>
        <v>96366.675024000026</v>
      </c>
      <c r="T16" s="581">
        <f t="shared" si="11"/>
        <v>96366.675024000026</v>
      </c>
      <c r="U16" s="581">
        <f t="shared" si="11"/>
        <v>96366.675024000026</v>
      </c>
      <c r="V16" s="581">
        <f t="shared" si="11"/>
        <v>96366.675024000026</v>
      </c>
      <c r="W16" s="581">
        <f t="shared" si="11"/>
        <v>96366.675024000026</v>
      </c>
      <c r="X16" s="581">
        <f t="shared" si="11"/>
        <v>96366.675024000026</v>
      </c>
      <c r="Y16" s="581">
        <f t="shared" si="11"/>
        <v>96366.675024000026</v>
      </c>
      <c r="Z16" s="581">
        <f t="shared" si="11"/>
        <v>96366.675024000026</v>
      </c>
      <c r="AA16" s="581">
        <f t="shared" si="11"/>
        <v>96366.675024000026</v>
      </c>
      <c r="AB16" s="581">
        <f t="shared" si="11"/>
        <v>96366.675024000026</v>
      </c>
      <c r="AC16" s="581">
        <f t="shared" si="11"/>
        <v>96366.675024000026</v>
      </c>
      <c r="AD16" s="581">
        <f t="shared" si="11"/>
        <v>96366.675024000026</v>
      </c>
      <c r="AE16" s="581">
        <f t="shared" si="11"/>
        <v>96366.675024000026</v>
      </c>
      <c r="AF16" s="572">
        <f t="shared" si="8"/>
        <v>1252766.7753120002</v>
      </c>
      <c r="AG16" s="543"/>
      <c r="AH16" s="572">
        <f>SUM($G16:I16)</f>
        <v>289100.02507200011</v>
      </c>
      <c r="AI16" s="572">
        <f>SUM($G16:K16)</f>
        <v>481833.3751200001</v>
      </c>
      <c r="AJ16" s="572">
        <f>SUM($G16:P16)</f>
        <v>963666.75024000008</v>
      </c>
      <c r="AK16" s="572">
        <f>SUM($G16:S16)</f>
        <v>1252766.7753120002</v>
      </c>
      <c r="AL16" s="543"/>
      <c r="AM16" s="543"/>
      <c r="AN16" s="543"/>
      <c r="AO16" s="543"/>
      <c r="AP16" s="543"/>
      <c r="AQ16" s="543"/>
      <c r="AR16" s="543"/>
      <c r="AS16" s="543"/>
      <c r="AT16" s="543"/>
    </row>
    <row r="17" spans="1:46" x14ac:dyDescent="0.3">
      <c r="A17" s="582" t="s">
        <v>412</v>
      </c>
      <c r="B17" s="583">
        <v>0.1157</v>
      </c>
      <c r="C17" s="584"/>
      <c r="D17" s="558" t="s">
        <v>399</v>
      </c>
      <c r="E17" s="580">
        <f>E15*$B$17/20%</f>
        <v>0</v>
      </c>
      <c r="F17" s="580">
        <f>F15*$B$17/20%</f>
        <v>0</v>
      </c>
      <c r="G17" s="580">
        <f>G15*$B$17/20%</f>
        <v>132261.26097600002</v>
      </c>
      <c r="H17" s="581">
        <f>H15*$B$17/$B$15</f>
        <v>132261.26097600002</v>
      </c>
      <c r="I17" s="581">
        <f t="shared" ref="I17:AE17" si="12">I15*$B$17/$B$15</f>
        <v>132261.26097600002</v>
      </c>
      <c r="J17" s="581">
        <f t="shared" si="12"/>
        <v>132261.26097600002</v>
      </c>
      <c r="K17" s="581">
        <f t="shared" si="12"/>
        <v>132261.26097600002</v>
      </c>
      <c r="L17" s="581">
        <f t="shared" si="12"/>
        <v>132261.26097600002</v>
      </c>
      <c r="M17" s="581">
        <f t="shared" si="12"/>
        <v>132261.26097600002</v>
      </c>
      <c r="N17" s="581">
        <f t="shared" si="12"/>
        <v>132261.26097600002</v>
      </c>
      <c r="O17" s="581">
        <f t="shared" si="12"/>
        <v>132261.26097600002</v>
      </c>
      <c r="P17" s="581">
        <f t="shared" si="12"/>
        <v>132261.26097600002</v>
      </c>
      <c r="Q17" s="581">
        <f t="shared" si="12"/>
        <v>132261.26097600002</v>
      </c>
      <c r="R17" s="581">
        <f t="shared" si="12"/>
        <v>132261.26097600002</v>
      </c>
      <c r="S17" s="581">
        <f t="shared" si="12"/>
        <v>132261.26097600002</v>
      </c>
      <c r="T17" s="581">
        <f t="shared" si="12"/>
        <v>132261.26097600002</v>
      </c>
      <c r="U17" s="581">
        <f t="shared" si="12"/>
        <v>132261.26097600002</v>
      </c>
      <c r="V17" s="581">
        <f t="shared" si="12"/>
        <v>132261.26097600002</v>
      </c>
      <c r="W17" s="581">
        <f t="shared" si="12"/>
        <v>132261.26097600002</v>
      </c>
      <c r="X17" s="581">
        <f t="shared" si="12"/>
        <v>132261.26097600002</v>
      </c>
      <c r="Y17" s="581">
        <f t="shared" si="12"/>
        <v>132261.26097600002</v>
      </c>
      <c r="Z17" s="581">
        <f t="shared" si="12"/>
        <v>132261.26097600002</v>
      </c>
      <c r="AA17" s="581">
        <f t="shared" si="12"/>
        <v>132261.26097600002</v>
      </c>
      <c r="AB17" s="581">
        <f t="shared" si="12"/>
        <v>132261.26097600002</v>
      </c>
      <c r="AC17" s="581">
        <f t="shared" si="12"/>
        <v>132261.26097600002</v>
      </c>
      <c r="AD17" s="581">
        <f t="shared" si="12"/>
        <v>132261.26097600002</v>
      </c>
      <c r="AE17" s="581">
        <f t="shared" si="12"/>
        <v>132261.26097600002</v>
      </c>
      <c r="AF17" s="572">
        <f t="shared" si="8"/>
        <v>1719396.3926880001</v>
      </c>
      <c r="AG17" s="543"/>
      <c r="AH17" s="572">
        <f>SUM($G17:I17)</f>
        <v>396783.78292800009</v>
      </c>
      <c r="AI17" s="572">
        <f>SUM($G17:K17)</f>
        <v>661306.30488000007</v>
      </c>
      <c r="AJ17" s="572">
        <f>SUM($G17:P17)</f>
        <v>1322612.6097600001</v>
      </c>
      <c r="AK17" s="572">
        <f>SUM($G17:S17)</f>
        <v>1719396.3926880001</v>
      </c>
      <c r="AL17" s="543"/>
      <c r="AM17" s="543"/>
      <c r="AN17" s="543"/>
      <c r="AO17" s="543"/>
      <c r="AP17" s="543"/>
      <c r="AQ17" s="543"/>
      <c r="AR17" s="543"/>
      <c r="AS17" s="543"/>
      <c r="AT17" s="543"/>
    </row>
    <row r="18" spans="1:46" x14ac:dyDescent="0.3">
      <c r="A18" s="559" t="s">
        <v>413</v>
      </c>
      <c r="B18" s="574">
        <v>0.2</v>
      </c>
      <c r="C18" s="574"/>
      <c r="D18" s="558" t="s">
        <v>399</v>
      </c>
      <c r="E18" s="580">
        <f>(E9-E10)*0.2</f>
        <v>0</v>
      </c>
      <c r="F18" s="580">
        <f>(F9-F10)*0.2</f>
        <v>0</v>
      </c>
      <c r="G18" s="580">
        <f>(G9-G10)*$B$18</f>
        <v>743816</v>
      </c>
      <c r="H18" s="581">
        <f>(H9-H10)*$B$18</f>
        <v>743816</v>
      </c>
      <c r="I18" s="581">
        <f t="shared" ref="I18:AE18" si="13">(I9-I10)*$B$18</f>
        <v>743816</v>
      </c>
      <c r="J18" s="581">
        <f t="shared" si="13"/>
        <v>743816</v>
      </c>
      <c r="K18" s="581">
        <f t="shared" si="13"/>
        <v>743816</v>
      </c>
      <c r="L18" s="581">
        <f t="shared" si="13"/>
        <v>743816</v>
      </c>
      <c r="M18" s="581">
        <f t="shared" si="13"/>
        <v>743816</v>
      </c>
      <c r="N18" s="581">
        <f t="shared" si="13"/>
        <v>743816</v>
      </c>
      <c r="O18" s="581">
        <f t="shared" si="13"/>
        <v>743816</v>
      </c>
      <c r="P18" s="581">
        <f t="shared" si="13"/>
        <v>743816</v>
      </c>
      <c r="Q18" s="581">
        <f t="shared" si="13"/>
        <v>743816</v>
      </c>
      <c r="R18" s="581">
        <f t="shared" si="13"/>
        <v>743816</v>
      </c>
      <c r="S18" s="581">
        <f t="shared" si="13"/>
        <v>743816</v>
      </c>
      <c r="T18" s="581">
        <f t="shared" si="13"/>
        <v>743816</v>
      </c>
      <c r="U18" s="581">
        <f t="shared" si="13"/>
        <v>743816</v>
      </c>
      <c r="V18" s="581">
        <f t="shared" si="13"/>
        <v>743816</v>
      </c>
      <c r="W18" s="581">
        <f t="shared" si="13"/>
        <v>743816</v>
      </c>
      <c r="X18" s="581">
        <f t="shared" si="13"/>
        <v>743816</v>
      </c>
      <c r="Y18" s="581">
        <f t="shared" si="13"/>
        <v>743816</v>
      </c>
      <c r="Z18" s="581">
        <f t="shared" si="13"/>
        <v>743816</v>
      </c>
      <c r="AA18" s="581">
        <f t="shared" si="13"/>
        <v>743816</v>
      </c>
      <c r="AB18" s="581">
        <f t="shared" si="13"/>
        <v>743816</v>
      </c>
      <c r="AC18" s="581">
        <f t="shared" si="13"/>
        <v>743816</v>
      </c>
      <c r="AD18" s="581">
        <f t="shared" si="13"/>
        <v>743816</v>
      </c>
      <c r="AE18" s="581">
        <f t="shared" si="13"/>
        <v>743816</v>
      </c>
      <c r="AF18" s="572">
        <f t="shared" si="8"/>
        <v>9669608</v>
      </c>
      <c r="AG18" s="543"/>
      <c r="AH18" s="572">
        <f>SUM($G18:I18)</f>
        <v>2231448</v>
      </c>
      <c r="AI18" s="572">
        <f>SUM($G18:K18)</f>
        <v>3719080</v>
      </c>
      <c r="AJ18" s="572">
        <f>SUM($G18:P18)</f>
        <v>7438160</v>
      </c>
      <c r="AK18" s="572">
        <f>SUM($G18:S18)</f>
        <v>9669608</v>
      </c>
      <c r="AL18" s="543"/>
      <c r="AM18" s="543"/>
      <c r="AN18" s="543"/>
      <c r="AO18" s="543"/>
      <c r="AP18" s="543"/>
      <c r="AQ18" s="543"/>
      <c r="AR18" s="543"/>
      <c r="AS18" s="543"/>
      <c r="AT18" s="543"/>
    </row>
    <row r="19" spans="1:46" ht="28" x14ac:dyDescent="0.3">
      <c r="A19" s="585" t="s">
        <v>414</v>
      </c>
      <c r="B19" s="585"/>
      <c r="C19" s="585"/>
      <c r="D19" s="558" t="s">
        <v>399</v>
      </c>
      <c r="E19" s="580">
        <f t="shared" ref="E19:AE19" si="14">E14+E15+E18</f>
        <v>0</v>
      </c>
      <c r="F19" s="580">
        <f t="shared" si="14"/>
        <v>0</v>
      </c>
      <c r="G19" s="580">
        <f t="shared" si="14"/>
        <v>1592273.7440000002</v>
      </c>
      <c r="H19" s="581">
        <f t="shared" si="14"/>
        <v>1592273.7440000002</v>
      </c>
      <c r="I19" s="581">
        <f t="shared" si="14"/>
        <v>1592273.7440000002</v>
      </c>
      <c r="J19" s="581">
        <f t="shared" si="14"/>
        <v>1592273.7440000002</v>
      </c>
      <c r="K19" s="581">
        <f t="shared" si="14"/>
        <v>1592273.7440000002</v>
      </c>
      <c r="L19" s="581">
        <f t="shared" si="14"/>
        <v>1592273.7440000002</v>
      </c>
      <c r="M19" s="581">
        <f t="shared" si="14"/>
        <v>1592273.7440000002</v>
      </c>
      <c r="N19" s="581">
        <f t="shared" si="14"/>
        <v>1592273.7440000002</v>
      </c>
      <c r="O19" s="581">
        <f t="shared" si="14"/>
        <v>1592273.7440000002</v>
      </c>
      <c r="P19" s="581">
        <f t="shared" si="14"/>
        <v>1592273.7440000002</v>
      </c>
      <c r="Q19" s="581">
        <f t="shared" si="14"/>
        <v>1592273.7440000002</v>
      </c>
      <c r="R19" s="581">
        <f t="shared" si="14"/>
        <v>1592273.7440000002</v>
      </c>
      <c r="S19" s="581">
        <f t="shared" si="14"/>
        <v>1592273.7440000002</v>
      </c>
      <c r="T19" s="581">
        <f t="shared" si="14"/>
        <v>1592273.7440000002</v>
      </c>
      <c r="U19" s="581">
        <f t="shared" si="14"/>
        <v>1592273.7440000002</v>
      </c>
      <c r="V19" s="581">
        <f t="shared" si="14"/>
        <v>1592273.7440000002</v>
      </c>
      <c r="W19" s="581">
        <f t="shared" si="14"/>
        <v>1592273.7440000002</v>
      </c>
      <c r="X19" s="581">
        <f t="shared" si="14"/>
        <v>1592273.7440000002</v>
      </c>
      <c r="Y19" s="581">
        <f t="shared" si="14"/>
        <v>1592273.7440000002</v>
      </c>
      <c r="Z19" s="581">
        <f t="shared" si="14"/>
        <v>1592273.7440000002</v>
      </c>
      <c r="AA19" s="581">
        <f t="shared" si="14"/>
        <v>1592273.7440000002</v>
      </c>
      <c r="AB19" s="581">
        <f t="shared" si="14"/>
        <v>1592273.7440000002</v>
      </c>
      <c r="AC19" s="581">
        <f t="shared" si="14"/>
        <v>1592273.7440000002</v>
      </c>
      <c r="AD19" s="581">
        <f t="shared" si="14"/>
        <v>1592273.7440000002</v>
      </c>
      <c r="AE19" s="581">
        <f t="shared" si="14"/>
        <v>1592273.7440000002</v>
      </c>
      <c r="AF19" s="572">
        <f t="shared" si="8"/>
        <v>20699558.672000002</v>
      </c>
      <c r="AG19" s="543"/>
      <c r="AH19" s="572">
        <f>SUM($G19:I19)</f>
        <v>4776821.2320000008</v>
      </c>
      <c r="AI19" s="572">
        <f>SUM($G19:K19)</f>
        <v>7961368.7200000007</v>
      </c>
      <c r="AJ19" s="572">
        <f>SUM($G19:P19)</f>
        <v>15922737.440000005</v>
      </c>
      <c r="AK19" s="572">
        <f>SUM($G19:S19)</f>
        <v>20699558.672000002</v>
      </c>
      <c r="AL19" s="543"/>
      <c r="AM19" s="543"/>
      <c r="AN19" s="543"/>
      <c r="AO19" s="543"/>
      <c r="AP19" s="543"/>
      <c r="AQ19" s="543"/>
      <c r="AR19" s="543"/>
      <c r="AS19" s="543"/>
      <c r="AT19" s="543"/>
    </row>
    <row r="20" spans="1:46" x14ac:dyDescent="0.3">
      <c r="A20" s="556" t="s">
        <v>415</v>
      </c>
      <c r="B20" s="557"/>
      <c r="C20" s="557"/>
      <c r="D20" s="558"/>
      <c r="E20" s="559"/>
      <c r="F20" s="559"/>
      <c r="G20" s="56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3"/>
      <c r="AH20" s="548"/>
      <c r="AI20" s="548"/>
      <c r="AJ20" s="548"/>
      <c r="AK20" s="548"/>
      <c r="AL20" s="543"/>
      <c r="AM20" s="543"/>
      <c r="AN20" s="543"/>
      <c r="AO20" s="543"/>
      <c r="AP20" s="543"/>
      <c r="AQ20" s="543"/>
      <c r="AR20" s="543"/>
      <c r="AS20" s="543"/>
      <c r="AT20" s="543"/>
    </row>
    <row r="21" spans="1:46" hidden="1" x14ac:dyDescent="0.3">
      <c r="A21" s="586" t="s">
        <v>416</v>
      </c>
      <c r="B21" s="559"/>
      <c r="C21" s="559"/>
      <c r="D21" s="558"/>
      <c r="E21" s="559"/>
      <c r="F21" s="559"/>
      <c r="G21" s="56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3"/>
      <c r="AH21" s="548"/>
      <c r="AI21" s="548"/>
      <c r="AJ21" s="548"/>
      <c r="AK21" s="548"/>
      <c r="AL21" s="543"/>
      <c r="AM21" s="543"/>
      <c r="AN21" s="543"/>
      <c r="AO21" s="543"/>
      <c r="AP21" s="543"/>
      <c r="AQ21" s="543"/>
      <c r="AR21" s="543"/>
      <c r="AS21" s="543"/>
      <c r="AT21" s="543"/>
    </row>
    <row r="22" spans="1:46" x14ac:dyDescent="0.3">
      <c r="A22" s="587" t="s">
        <v>417</v>
      </c>
      <c r="B22" s="559"/>
      <c r="C22" s="569" t="s">
        <v>418</v>
      </c>
      <c r="D22" s="558" t="s">
        <v>419</v>
      </c>
      <c r="E22" s="559"/>
      <c r="F22" s="578">
        <f t="shared" ref="F22:J22" si="15">F23-E23</f>
        <v>0</v>
      </c>
      <c r="G22" s="578">
        <f t="shared" si="15"/>
        <v>0</v>
      </c>
      <c r="H22" s="564">
        <f t="shared" si="15"/>
        <v>0</v>
      </c>
      <c r="I22" s="564">
        <f t="shared" si="15"/>
        <v>0</v>
      </c>
      <c r="J22" s="564">
        <f t="shared" si="15"/>
        <v>0</v>
      </c>
      <c r="K22" s="564">
        <f>K23-J23</f>
        <v>5</v>
      </c>
      <c r="L22" s="564">
        <f t="shared" ref="L22:AE22" si="16">L23-K23</f>
        <v>0</v>
      </c>
      <c r="M22" s="564">
        <f t="shared" si="16"/>
        <v>0</v>
      </c>
      <c r="N22" s="564">
        <f t="shared" si="16"/>
        <v>0</v>
      </c>
      <c r="O22" s="564">
        <f t="shared" si="16"/>
        <v>5</v>
      </c>
      <c r="P22" s="564">
        <f t="shared" si="16"/>
        <v>0</v>
      </c>
      <c r="Q22" s="564">
        <f t="shared" si="16"/>
        <v>0</v>
      </c>
      <c r="R22" s="564">
        <f t="shared" si="16"/>
        <v>0</v>
      </c>
      <c r="S22" s="564">
        <f t="shared" si="16"/>
        <v>5</v>
      </c>
      <c r="T22" s="564">
        <f t="shared" si="16"/>
        <v>0</v>
      </c>
      <c r="U22" s="564">
        <f t="shared" si="16"/>
        <v>0</v>
      </c>
      <c r="V22" s="564">
        <f t="shared" si="16"/>
        <v>0</v>
      </c>
      <c r="W22" s="564">
        <f t="shared" si="16"/>
        <v>5</v>
      </c>
      <c r="X22" s="564">
        <f t="shared" si="16"/>
        <v>0</v>
      </c>
      <c r="Y22" s="564">
        <f t="shared" si="16"/>
        <v>0</v>
      </c>
      <c r="Z22" s="564">
        <f t="shared" si="16"/>
        <v>0</v>
      </c>
      <c r="AA22" s="564">
        <f t="shared" si="16"/>
        <v>5</v>
      </c>
      <c r="AB22" s="564">
        <f t="shared" si="16"/>
        <v>0</v>
      </c>
      <c r="AC22" s="564">
        <f t="shared" si="16"/>
        <v>0</v>
      </c>
      <c r="AD22" s="564">
        <f t="shared" si="16"/>
        <v>0</v>
      </c>
      <c r="AE22" s="564">
        <f t="shared" si="16"/>
        <v>5</v>
      </c>
      <c r="AF22" s="564">
        <f>SUM(F22:S22)</f>
        <v>15</v>
      </c>
      <c r="AG22" s="543"/>
      <c r="AH22" s="548">
        <f>SUM($G22:I22)</f>
        <v>0</v>
      </c>
      <c r="AI22" s="548">
        <f>SUM($G22:K22)</f>
        <v>5</v>
      </c>
      <c r="AJ22" s="548">
        <f>SUM($G22:P22)</f>
        <v>10</v>
      </c>
      <c r="AK22" s="564">
        <f>SUM($G22:S22)</f>
        <v>15</v>
      </c>
      <c r="AL22" s="543"/>
      <c r="AM22" s="543"/>
      <c r="AN22" s="543"/>
      <c r="AO22" s="543"/>
      <c r="AP22" s="543"/>
      <c r="AQ22" s="543"/>
      <c r="AR22" s="543"/>
      <c r="AS22" s="543"/>
      <c r="AT22" s="543"/>
    </row>
    <row r="23" spans="1:46" x14ac:dyDescent="0.3">
      <c r="A23" s="587" t="s">
        <v>420</v>
      </c>
      <c r="B23" s="559"/>
      <c r="C23" s="569" t="s">
        <v>418</v>
      </c>
      <c r="D23" s="558" t="s">
        <v>418</v>
      </c>
      <c r="E23" s="559"/>
      <c r="F23" s="578"/>
      <c r="G23" s="578"/>
      <c r="H23" s="564"/>
      <c r="I23" s="564"/>
      <c r="J23" s="564"/>
      <c r="K23" s="564">
        <f>J6</f>
        <v>5</v>
      </c>
      <c r="L23" s="564">
        <f>K6</f>
        <v>5</v>
      </c>
      <c r="M23" s="564">
        <f>L6</f>
        <v>5</v>
      </c>
      <c r="N23" s="564">
        <f>M6</f>
        <v>5</v>
      </c>
      <c r="O23" s="564">
        <f>$N$23+N6</f>
        <v>10</v>
      </c>
      <c r="P23" s="564">
        <f>$N$23+O6</f>
        <v>10</v>
      </c>
      <c r="Q23" s="564">
        <f>$N$23+P6</f>
        <v>10</v>
      </c>
      <c r="R23" s="564">
        <f>$N$23+Q6</f>
        <v>10</v>
      </c>
      <c r="S23" s="564">
        <f>$R$23+R6</f>
        <v>15</v>
      </c>
      <c r="T23" s="564">
        <f>$R$23+S6</f>
        <v>15</v>
      </c>
      <c r="U23" s="564">
        <f>$R$23+T6</f>
        <v>15</v>
      </c>
      <c r="V23" s="564">
        <f>$R$23+U6</f>
        <v>15</v>
      </c>
      <c r="W23" s="564">
        <f>$V$23+V6</f>
        <v>20</v>
      </c>
      <c r="X23" s="564">
        <f>$V$23+W6</f>
        <v>20</v>
      </c>
      <c r="Y23" s="564">
        <f>$V$23+X6</f>
        <v>20</v>
      </c>
      <c r="Z23" s="564">
        <f>$V$23+Y6</f>
        <v>20</v>
      </c>
      <c r="AA23" s="564">
        <f>$Z$23+Z6</f>
        <v>25</v>
      </c>
      <c r="AB23" s="564">
        <f>$Z$23+AA6</f>
        <v>25</v>
      </c>
      <c r="AC23" s="564">
        <f>$Z$23+AB6</f>
        <v>25</v>
      </c>
      <c r="AD23" s="564">
        <f>$Z$23+AC6</f>
        <v>25</v>
      </c>
      <c r="AE23" s="564">
        <f>$AD$23+AD6</f>
        <v>30</v>
      </c>
      <c r="AF23" s="564">
        <f>S23</f>
        <v>15</v>
      </c>
      <c r="AG23" s="543"/>
      <c r="AH23" s="564">
        <f>I23</f>
        <v>0</v>
      </c>
      <c r="AI23" s="564">
        <f>K23</f>
        <v>5</v>
      </c>
      <c r="AJ23" s="564">
        <f>P23</f>
        <v>10</v>
      </c>
      <c r="AK23" s="564">
        <f>S23</f>
        <v>15</v>
      </c>
      <c r="AL23" s="543"/>
      <c r="AM23" s="543"/>
      <c r="AN23" s="543"/>
      <c r="AO23" s="543"/>
      <c r="AP23" s="543"/>
      <c r="AQ23" s="543"/>
      <c r="AR23" s="543"/>
      <c r="AS23" s="543"/>
      <c r="AT23" s="543"/>
    </row>
    <row r="24" spans="1:46" ht="23.5" x14ac:dyDescent="0.3">
      <c r="A24" s="588" t="s">
        <v>421</v>
      </c>
      <c r="B24" s="574">
        <v>0.8</v>
      </c>
      <c r="C24" s="569" t="s">
        <v>422</v>
      </c>
      <c r="D24" s="558"/>
      <c r="E24" s="559"/>
      <c r="F24" s="578">
        <f>F23*$B$24</f>
        <v>0</v>
      </c>
      <c r="G24" s="578">
        <f t="shared" ref="G24:AE24" si="17">G23*$B$24</f>
        <v>0</v>
      </c>
      <c r="H24" s="564">
        <f t="shared" si="17"/>
        <v>0</v>
      </c>
      <c r="I24" s="564">
        <f t="shared" si="17"/>
        <v>0</v>
      </c>
      <c r="J24" s="564">
        <f t="shared" si="17"/>
        <v>0</v>
      </c>
      <c r="K24" s="564">
        <f t="shared" si="17"/>
        <v>4</v>
      </c>
      <c r="L24" s="564">
        <f t="shared" si="17"/>
        <v>4</v>
      </c>
      <c r="M24" s="564">
        <f t="shared" si="17"/>
        <v>4</v>
      </c>
      <c r="N24" s="564">
        <f t="shared" si="17"/>
        <v>4</v>
      </c>
      <c r="O24" s="564">
        <f t="shared" si="17"/>
        <v>8</v>
      </c>
      <c r="P24" s="564">
        <f t="shared" si="17"/>
        <v>8</v>
      </c>
      <c r="Q24" s="564">
        <f t="shared" si="17"/>
        <v>8</v>
      </c>
      <c r="R24" s="564">
        <f t="shared" si="17"/>
        <v>8</v>
      </c>
      <c r="S24" s="564">
        <f t="shared" si="17"/>
        <v>12</v>
      </c>
      <c r="T24" s="564">
        <f t="shared" si="17"/>
        <v>12</v>
      </c>
      <c r="U24" s="564">
        <f t="shared" si="17"/>
        <v>12</v>
      </c>
      <c r="V24" s="564">
        <f t="shared" si="17"/>
        <v>12</v>
      </c>
      <c r="W24" s="564">
        <f t="shared" si="17"/>
        <v>16</v>
      </c>
      <c r="X24" s="564">
        <f t="shared" si="17"/>
        <v>16</v>
      </c>
      <c r="Y24" s="564">
        <f t="shared" si="17"/>
        <v>16</v>
      </c>
      <c r="Z24" s="564">
        <f t="shared" si="17"/>
        <v>16</v>
      </c>
      <c r="AA24" s="564">
        <f t="shared" si="17"/>
        <v>20</v>
      </c>
      <c r="AB24" s="564">
        <f t="shared" si="17"/>
        <v>20</v>
      </c>
      <c r="AC24" s="564">
        <f t="shared" si="17"/>
        <v>20</v>
      </c>
      <c r="AD24" s="564">
        <f t="shared" si="17"/>
        <v>20</v>
      </c>
      <c r="AE24" s="564">
        <f t="shared" si="17"/>
        <v>24</v>
      </c>
      <c r="AF24" s="564">
        <f>S24</f>
        <v>12</v>
      </c>
      <c r="AG24" s="543"/>
      <c r="AH24" s="564">
        <f>I24</f>
        <v>0</v>
      </c>
      <c r="AI24" s="564">
        <f>K24</f>
        <v>4</v>
      </c>
      <c r="AJ24" s="564">
        <f>P24</f>
        <v>8</v>
      </c>
      <c r="AK24" s="564">
        <f>S24</f>
        <v>12</v>
      </c>
      <c r="AL24" s="543"/>
      <c r="AM24" s="543"/>
      <c r="AN24" s="543"/>
      <c r="AO24" s="543"/>
      <c r="AP24" s="543"/>
      <c r="AQ24" s="543"/>
      <c r="AR24" s="543"/>
      <c r="AS24" s="543"/>
      <c r="AT24" s="543"/>
    </row>
    <row r="25" spans="1:46" ht="24.75" customHeight="1" x14ac:dyDescent="0.3">
      <c r="A25" s="588" t="s">
        <v>423</v>
      </c>
      <c r="B25" s="574">
        <v>0.8</v>
      </c>
      <c r="C25" s="569" t="s">
        <v>424</v>
      </c>
      <c r="D25" s="558" t="s">
        <v>418</v>
      </c>
      <c r="E25" s="559"/>
      <c r="F25" s="578">
        <f>F24*$B$25</f>
        <v>0</v>
      </c>
      <c r="G25" s="578">
        <f t="shared" ref="G25:AE25" si="18">G24*$B$25</f>
        <v>0</v>
      </c>
      <c r="H25" s="564">
        <f t="shared" si="18"/>
        <v>0</v>
      </c>
      <c r="I25" s="564">
        <f t="shared" si="18"/>
        <v>0</v>
      </c>
      <c r="J25" s="564">
        <f t="shared" si="18"/>
        <v>0</v>
      </c>
      <c r="K25" s="564">
        <f t="shared" si="18"/>
        <v>3.2</v>
      </c>
      <c r="L25" s="564">
        <f t="shared" si="18"/>
        <v>3.2</v>
      </c>
      <c r="M25" s="564">
        <f t="shared" si="18"/>
        <v>3.2</v>
      </c>
      <c r="N25" s="564">
        <f t="shared" si="18"/>
        <v>3.2</v>
      </c>
      <c r="O25" s="564">
        <f t="shared" si="18"/>
        <v>6.4</v>
      </c>
      <c r="P25" s="564">
        <f t="shared" si="18"/>
        <v>6.4</v>
      </c>
      <c r="Q25" s="564">
        <f t="shared" si="18"/>
        <v>6.4</v>
      </c>
      <c r="R25" s="564">
        <f t="shared" si="18"/>
        <v>6.4</v>
      </c>
      <c r="S25" s="564">
        <f t="shared" si="18"/>
        <v>9.6000000000000014</v>
      </c>
      <c r="T25" s="564">
        <f t="shared" si="18"/>
        <v>9.6000000000000014</v>
      </c>
      <c r="U25" s="564">
        <f t="shared" si="18"/>
        <v>9.6000000000000014</v>
      </c>
      <c r="V25" s="564">
        <f t="shared" si="18"/>
        <v>9.6000000000000014</v>
      </c>
      <c r="W25" s="564">
        <f t="shared" si="18"/>
        <v>12.8</v>
      </c>
      <c r="X25" s="564">
        <f t="shared" si="18"/>
        <v>12.8</v>
      </c>
      <c r="Y25" s="564">
        <f t="shared" si="18"/>
        <v>12.8</v>
      </c>
      <c r="Z25" s="564">
        <f t="shared" si="18"/>
        <v>12.8</v>
      </c>
      <c r="AA25" s="564">
        <f t="shared" si="18"/>
        <v>16</v>
      </c>
      <c r="AB25" s="564">
        <f t="shared" si="18"/>
        <v>16</v>
      </c>
      <c r="AC25" s="564">
        <f t="shared" si="18"/>
        <v>16</v>
      </c>
      <c r="AD25" s="564">
        <f t="shared" si="18"/>
        <v>16</v>
      </c>
      <c r="AE25" s="564">
        <f t="shared" si="18"/>
        <v>19.200000000000003</v>
      </c>
      <c r="AF25" s="564">
        <f>S25</f>
        <v>9.6000000000000014</v>
      </c>
      <c r="AG25" s="543"/>
      <c r="AH25" s="564">
        <f>I25</f>
        <v>0</v>
      </c>
      <c r="AI25" s="564">
        <f>K25</f>
        <v>3.2</v>
      </c>
      <c r="AJ25" s="564">
        <f>P25</f>
        <v>6.4</v>
      </c>
      <c r="AK25" s="564">
        <f>S25</f>
        <v>9.6000000000000014</v>
      </c>
      <c r="AL25" s="543"/>
      <c r="AM25" s="543"/>
      <c r="AN25" s="543"/>
      <c r="AO25" s="543"/>
      <c r="AP25" s="543"/>
      <c r="AQ25" s="543"/>
      <c r="AR25" s="543"/>
      <c r="AS25" s="543"/>
      <c r="AT25" s="543"/>
    </row>
    <row r="26" spans="1:46" ht="28" x14ac:dyDescent="0.3">
      <c r="A26" s="587" t="s">
        <v>425</v>
      </c>
      <c r="B26" s="559">
        <v>5</v>
      </c>
      <c r="C26" s="569" t="s">
        <v>426</v>
      </c>
      <c r="D26" s="558" t="s">
        <v>337</v>
      </c>
      <c r="E26" s="559"/>
      <c r="F26" s="568">
        <f>Eeldused_muugi!E20*F25*$B$26</f>
        <v>0</v>
      </c>
      <c r="G26" s="568">
        <f>Eeldused_muugi!F20*G25*$B$26</f>
        <v>0</v>
      </c>
      <c r="H26" s="568">
        <f>Eeldused_muugi!G20*H25*$B$26</f>
        <v>0</v>
      </c>
      <c r="I26" s="568">
        <f>Eeldused_muugi!H20*I25*$B$26</f>
        <v>0</v>
      </c>
      <c r="J26" s="568">
        <f>Eeldused_muugi!I20*J25*$B$26</f>
        <v>0</v>
      </c>
      <c r="K26" s="568">
        <f>Eeldused_muugi!J20*K25*$B$26</f>
        <v>9428.6400000000049</v>
      </c>
      <c r="L26" s="568">
        <f>Eeldused_muugi!K20*L25*$B$26</f>
        <v>9428.6400000000049</v>
      </c>
      <c r="M26" s="568">
        <f>Eeldused_muugi!L20*M25*$B$26</f>
        <v>9428.6400000000049</v>
      </c>
      <c r="N26" s="568">
        <f>Eeldused_muugi!M20*N25*$B$26</f>
        <v>9428.6400000000049</v>
      </c>
      <c r="O26" s="568">
        <f>Eeldused_muugi!N20*O25*$B$26</f>
        <v>18857.28000000001</v>
      </c>
      <c r="P26" s="568">
        <f>Eeldused_muugi!O20*P25*$B$26</f>
        <v>18857.28000000001</v>
      </c>
      <c r="Q26" s="568">
        <f>Eeldused_muugi!P20*Q25*$B$26</f>
        <v>18857.28000000001</v>
      </c>
      <c r="R26" s="568">
        <f>Eeldused_muugi!Q20*R25*$B$26</f>
        <v>18857.28000000001</v>
      </c>
      <c r="S26" s="568">
        <f>Eeldused_muugi!R20*S25*$B$26</f>
        <v>28285.92000000002</v>
      </c>
      <c r="T26" s="568">
        <f>Eeldused_muugi!S20*T25*$B$26</f>
        <v>28285.92000000002</v>
      </c>
      <c r="U26" s="568">
        <f>Eeldused_muugi!T20*U25*$B$26</f>
        <v>28285.92000000002</v>
      </c>
      <c r="V26" s="568">
        <f>Eeldused_muugi!U20*V25*$B$26</f>
        <v>28285.92000000002</v>
      </c>
      <c r="W26" s="568">
        <f>Eeldused_muugi!V20*W25*$B$26</f>
        <v>37714.560000000019</v>
      </c>
      <c r="X26" s="568">
        <f>Eeldused_muugi!W20*X25*$B$26</f>
        <v>37714.560000000019</v>
      </c>
      <c r="Y26" s="568">
        <f>Eeldused_muugi!X20*Y25*$B$26</f>
        <v>37714.560000000019</v>
      </c>
      <c r="Z26" s="568">
        <f>Eeldused_muugi!Y20*Z25*$B$26</f>
        <v>37714.560000000019</v>
      </c>
      <c r="AA26" s="568">
        <f>Eeldused_muugi!Z20*AA25*$B$26</f>
        <v>47143.200000000026</v>
      </c>
      <c r="AB26" s="568">
        <f>Eeldused_muugi!AA20*AB25*$B$26</f>
        <v>47143.200000000026</v>
      </c>
      <c r="AC26" s="568">
        <f>Eeldused_muugi!AB20*AC25*$B$26</f>
        <v>47143.200000000026</v>
      </c>
      <c r="AD26" s="568">
        <f>Eeldused_muugi!AC20*AD25*$B$26</f>
        <v>47143.200000000026</v>
      </c>
      <c r="AE26" s="568">
        <f>Eeldused_muugi!AD20*AE25*$B$26</f>
        <v>56571.84000000004</v>
      </c>
      <c r="AF26" s="576">
        <f>S26</f>
        <v>28285.92000000002</v>
      </c>
      <c r="AG26" s="543"/>
      <c r="AH26" s="576">
        <f>I26</f>
        <v>0</v>
      </c>
      <c r="AI26" s="576">
        <f>K26</f>
        <v>9428.6400000000049</v>
      </c>
      <c r="AJ26" s="576">
        <f>P26</f>
        <v>18857.28000000001</v>
      </c>
      <c r="AK26" s="576">
        <f>S26</f>
        <v>28285.92000000002</v>
      </c>
      <c r="AL26" s="543"/>
      <c r="AM26" s="543"/>
      <c r="AN26" s="543"/>
      <c r="AO26" s="543"/>
      <c r="AP26" s="543"/>
      <c r="AQ26" s="543"/>
      <c r="AR26" s="543"/>
      <c r="AS26" s="543"/>
      <c r="AT26" s="543"/>
    </row>
    <row r="27" spans="1:46" ht="33.75" customHeight="1" x14ac:dyDescent="0.3">
      <c r="A27" s="587" t="s">
        <v>427</v>
      </c>
      <c r="B27" s="574">
        <v>3</v>
      </c>
      <c r="C27" s="569" t="s">
        <v>428</v>
      </c>
      <c r="D27" s="558" t="s">
        <v>337</v>
      </c>
      <c r="E27" s="568">
        <f t="shared" ref="E27:AE27" si="19">E26*$B$27</f>
        <v>0</v>
      </c>
      <c r="F27" s="568">
        <f t="shared" si="19"/>
        <v>0</v>
      </c>
      <c r="G27" s="568">
        <f t="shared" si="19"/>
        <v>0</v>
      </c>
      <c r="H27" s="576">
        <f t="shared" si="19"/>
        <v>0</v>
      </c>
      <c r="I27" s="576">
        <f t="shared" si="19"/>
        <v>0</v>
      </c>
      <c r="J27" s="576">
        <f t="shared" si="19"/>
        <v>0</v>
      </c>
      <c r="K27" s="576">
        <f t="shared" si="19"/>
        <v>28285.920000000013</v>
      </c>
      <c r="L27" s="576">
        <f t="shared" si="19"/>
        <v>28285.920000000013</v>
      </c>
      <c r="M27" s="576">
        <f t="shared" si="19"/>
        <v>28285.920000000013</v>
      </c>
      <c r="N27" s="576">
        <f t="shared" si="19"/>
        <v>28285.920000000013</v>
      </c>
      <c r="O27" s="576">
        <f t="shared" si="19"/>
        <v>56571.840000000026</v>
      </c>
      <c r="P27" s="576">
        <f t="shared" si="19"/>
        <v>56571.840000000026</v>
      </c>
      <c r="Q27" s="576">
        <f t="shared" si="19"/>
        <v>56571.840000000026</v>
      </c>
      <c r="R27" s="576">
        <f t="shared" si="19"/>
        <v>56571.840000000026</v>
      </c>
      <c r="S27" s="576">
        <f t="shared" si="19"/>
        <v>84857.760000000068</v>
      </c>
      <c r="T27" s="576">
        <f t="shared" si="19"/>
        <v>84857.760000000068</v>
      </c>
      <c r="U27" s="576">
        <f t="shared" si="19"/>
        <v>84857.760000000068</v>
      </c>
      <c r="V27" s="576">
        <f t="shared" si="19"/>
        <v>84857.760000000068</v>
      </c>
      <c r="W27" s="576">
        <f t="shared" si="19"/>
        <v>113143.68000000005</v>
      </c>
      <c r="X27" s="576">
        <f t="shared" si="19"/>
        <v>113143.68000000005</v>
      </c>
      <c r="Y27" s="576">
        <f t="shared" si="19"/>
        <v>113143.68000000005</v>
      </c>
      <c r="Z27" s="576">
        <f t="shared" si="19"/>
        <v>113143.68000000005</v>
      </c>
      <c r="AA27" s="576">
        <f t="shared" si="19"/>
        <v>141429.60000000009</v>
      </c>
      <c r="AB27" s="576">
        <f t="shared" si="19"/>
        <v>141429.60000000009</v>
      </c>
      <c r="AC27" s="576">
        <f t="shared" si="19"/>
        <v>141429.60000000009</v>
      </c>
      <c r="AD27" s="576">
        <f t="shared" si="19"/>
        <v>141429.60000000009</v>
      </c>
      <c r="AE27" s="576">
        <f t="shared" si="19"/>
        <v>169715.52000000014</v>
      </c>
      <c r="AF27" s="576">
        <f>S27</f>
        <v>84857.760000000068</v>
      </c>
      <c r="AG27" s="543"/>
      <c r="AH27" s="576">
        <f>I27</f>
        <v>0</v>
      </c>
      <c r="AI27" s="576">
        <f>K27</f>
        <v>28285.920000000013</v>
      </c>
      <c r="AJ27" s="576">
        <f>P27</f>
        <v>56571.840000000026</v>
      </c>
      <c r="AK27" s="576">
        <f>S27</f>
        <v>84857.760000000068</v>
      </c>
      <c r="AL27" s="543"/>
      <c r="AM27" s="543"/>
      <c r="AN27" s="543"/>
      <c r="AO27" s="543"/>
      <c r="AP27" s="543"/>
      <c r="AQ27" s="543"/>
      <c r="AR27" s="543"/>
      <c r="AS27" s="543"/>
      <c r="AT27" s="543"/>
    </row>
    <row r="28" spans="1:46" ht="16.5" customHeight="1" x14ac:dyDescent="0.3">
      <c r="A28" s="587" t="s">
        <v>429</v>
      </c>
      <c r="B28" s="574"/>
      <c r="C28" s="569"/>
      <c r="D28" s="558" t="s">
        <v>399</v>
      </c>
      <c r="E28" s="570">
        <f t="shared" ref="E28:J28" si="20">SUM(E29:E31)</f>
        <v>0</v>
      </c>
      <c r="F28" s="570">
        <f t="shared" si="20"/>
        <v>0</v>
      </c>
      <c r="G28" s="570">
        <f t="shared" si="20"/>
        <v>0</v>
      </c>
      <c r="H28" s="571">
        <f t="shared" si="20"/>
        <v>0</v>
      </c>
      <c r="I28" s="571">
        <f t="shared" si="20"/>
        <v>0</v>
      </c>
      <c r="J28" s="571">
        <f t="shared" si="20"/>
        <v>21427050.300000008</v>
      </c>
      <c r="K28" s="571">
        <f>SUM(K29:K31)</f>
        <v>0</v>
      </c>
      <c r="L28" s="571">
        <f t="shared" ref="L28:AD28" si="21">SUM(L29:L31)</f>
        <v>0</v>
      </c>
      <c r="M28" s="571">
        <f t="shared" si="21"/>
        <v>0</v>
      </c>
      <c r="N28" s="571">
        <f t="shared" si="21"/>
        <v>21427050.300000008</v>
      </c>
      <c r="O28" s="571">
        <f t="shared" si="21"/>
        <v>0</v>
      </c>
      <c r="P28" s="571">
        <f t="shared" si="21"/>
        <v>0</v>
      </c>
      <c r="Q28" s="571">
        <f t="shared" si="21"/>
        <v>0</v>
      </c>
      <c r="R28" s="571">
        <f t="shared" si="21"/>
        <v>21427050.300000008</v>
      </c>
      <c r="S28" s="571">
        <f t="shared" si="21"/>
        <v>0</v>
      </c>
      <c r="T28" s="571">
        <f t="shared" si="21"/>
        <v>0</v>
      </c>
      <c r="U28" s="571">
        <f t="shared" si="21"/>
        <v>0</v>
      </c>
      <c r="V28" s="571">
        <f t="shared" si="21"/>
        <v>21427050.300000008</v>
      </c>
      <c r="W28" s="571">
        <f t="shared" si="21"/>
        <v>0</v>
      </c>
      <c r="X28" s="571">
        <f t="shared" si="21"/>
        <v>0</v>
      </c>
      <c r="Y28" s="571">
        <f t="shared" si="21"/>
        <v>0</v>
      </c>
      <c r="Z28" s="571">
        <f t="shared" si="21"/>
        <v>21427050.300000008</v>
      </c>
      <c r="AA28" s="571">
        <f t="shared" si="21"/>
        <v>0</v>
      </c>
      <c r="AB28" s="571">
        <f t="shared" si="21"/>
        <v>0</v>
      </c>
      <c r="AC28" s="571">
        <f t="shared" si="21"/>
        <v>0</v>
      </c>
      <c r="AD28" s="571">
        <f t="shared" si="21"/>
        <v>21427050.300000008</v>
      </c>
      <c r="AE28" s="571"/>
      <c r="AF28" s="572">
        <f t="shared" ref="AF28:AF34" si="22">SUM(E28:S28)</f>
        <v>64281150.900000021</v>
      </c>
      <c r="AG28" s="543"/>
      <c r="AH28" s="572">
        <f>SUM($G28:I28)</f>
        <v>0</v>
      </c>
      <c r="AI28" s="572">
        <f>SUM($G28:K28)</f>
        <v>21427050.300000008</v>
      </c>
      <c r="AJ28" s="572">
        <f>SUM($G28:P28)</f>
        <v>42854100.600000016</v>
      </c>
      <c r="AK28" s="572">
        <f>SUM($G28:S28)</f>
        <v>64281150.900000021</v>
      </c>
      <c r="AL28" s="543"/>
      <c r="AM28" s="543"/>
      <c r="AN28" s="543"/>
      <c r="AO28" s="543"/>
      <c r="AP28" s="543"/>
      <c r="AQ28" s="543"/>
      <c r="AR28" s="543"/>
      <c r="AS28" s="543"/>
      <c r="AT28" s="543"/>
    </row>
    <row r="29" spans="1:46" ht="17.25" customHeight="1" x14ac:dyDescent="0.3">
      <c r="A29" s="582" t="s">
        <v>430</v>
      </c>
      <c r="B29" s="559">
        <v>15</v>
      </c>
      <c r="C29" s="559" t="s">
        <v>431</v>
      </c>
      <c r="D29" s="558" t="s">
        <v>399</v>
      </c>
      <c r="E29" s="589">
        <f>Eeldused_muugi!E20*F22*$B$24*$B$25*$B$26*$B$27*$B$29</f>
        <v>0</v>
      </c>
      <c r="F29" s="589">
        <f>Eeldused_muugi!F20*G22*$B$24*$B$25*$B$26*$B$27*$B$29</f>
        <v>0</v>
      </c>
      <c r="G29" s="589">
        <f>Eeldused_muugi!G20*H22*$B$24*$B$25*$B$26*$B$27*$B$29</f>
        <v>0</v>
      </c>
      <c r="H29" s="590">
        <f>Eeldused_muugi!H20*I22*$B$24*$B$25*$B$26*$B$27*$B$29</f>
        <v>0</v>
      </c>
      <c r="I29" s="590">
        <f>Eeldused_muugi!I20*J22*$B$24*$B$25*$B$26*$B$27*$B$29</f>
        <v>0</v>
      </c>
      <c r="J29" s="590">
        <f>Eeldused_muugi!J20*K22*$B$24*$B$25*$B$26*$B$27*$B$29</f>
        <v>424288.80000000016</v>
      </c>
      <c r="K29" s="590">
        <f>Eeldused_muugi!K20*L22*$B$24*$B$25*$B$26*$B$27*$B$29</f>
        <v>0</v>
      </c>
      <c r="L29" s="590">
        <f>Eeldused_muugi!L20*M22*$B$24*$B$25*$B$26*$B$27*$B$29</f>
        <v>0</v>
      </c>
      <c r="M29" s="590">
        <f>Eeldused_muugi!M20*N22*$B$24*$B$25*$B$26*$B$27*$B$29</f>
        <v>0</v>
      </c>
      <c r="N29" s="590">
        <f>Eeldused_muugi!N20*O22*$B$24*$B$25*$B$26*$B$27*$B$29</f>
        <v>424288.80000000016</v>
      </c>
      <c r="O29" s="590">
        <f>Eeldused_muugi!O20*P22*$B$24*$B$25*$B$26*$B$27*$B$29</f>
        <v>0</v>
      </c>
      <c r="P29" s="590">
        <f>Eeldused_muugi!P20*Q22*$B$24*$B$25*$B$26*$B$27*$B$29</f>
        <v>0</v>
      </c>
      <c r="Q29" s="590">
        <f>Eeldused_muugi!Q20*R22*$B$24*$B$25*$B$26*$B$27*$B$29</f>
        <v>0</v>
      </c>
      <c r="R29" s="590">
        <f>Eeldused_muugi!R20*S22*$B$24*$B$25*$B$26*$B$27*$B$29</f>
        <v>424288.80000000016</v>
      </c>
      <c r="S29" s="590">
        <f>Eeldused_muugi!S20*T22*$B$24*$B$25*$B$26*$B$27*$B$29</f>
        <v>0</v>
      </c>
      <c r="T29" s="590">
        <f>Eeldused_muugi!T20*U22*$B$24*$B$25*$B$26*$B$27*$B$29</f>
        <v>0</v>
      </c>
      <c r="U29" s="590">
        <f>Eeldused_muugi!U20*V22*$B$24*$B$25*$B$26*$B$27*$B$29</f>
        <v>0</v>
      </c>
      <c r="V29" s="590">
        <f>Eeldused_muugi!V20*W22*$B$24*$B$25*$B$26*$B$27*$B$29</f>
        <v>424288.80000000016</v>
      </c>
      <c r="W29" s="590">
        <f>Eeldused_muugi!W20*X22*$B$24*$B$25*$B$26*$B$27*$B$29</f>
        <v>0</v>
      </c>
      <c r="X29" s="590">
        <f>Eeldused_muugi!X20*Y22*$B$24*$B$25*$B$26*$B$27*$B$29</f>
        <v>0</v>
      </c>
      <c r="Y29" s="590">
        <f>Eeldused_muugi!Y20*Z22*$B$24*$B$25*$B$26*$B$27*$B$29</f>
        <v>0</v>
      </c>
      <c r="Z29" s="590">
        <f>Eeldused_muugi!Z20*AA22*$B$24*$B$25*$B$26*$B$27*$B$29</f>
        <v>424288.80000000016</v>
      </c>
      <c r="AA29" s="590">
        <f>Eeldused_muugi!AA20*AB22*$B$24*$B$25*$B$26*$B$27*$B$29</f>
        <v>0</v>
      </c>
      <c r="AB29" s="590">
        <f>Eeldused_muugi!AB20*AC22*$B$24*$B$25*$B$26*$B$27*$B$29</f>
        <v>0</v>
      </c>
      <c r="AC29" s="590">
        <f>Eeldused_muugi!AC20*AD22*$B$24*$B$25*$B$26*$B$27*$B$29</f>
        <v>0</v>
      </c>
      <c r="AD29" s="590">
        <f>Eeldused_muugi!AD20*AE22*$B$24*$B$25*$B$26*$B$27*$B$29</f>
        <v>424288.80000000016</v>
      </c>
      <c r="AE29" s="590">
        <f>Eeldused_muugi!AE20*AF22*$B$24*$B$25*$B$26*$B$27*$B$29</f>
        <v>0</v>
      </c>
      <c r="AF29" s="571">
        <f t="shared" si="22"/>
        <v>1272866.4000000004</v>
      </c>
      <c r="AG29" s="543"/>
      <c r="AH29" s="572">
        <f>SUM($G29:I29)</f>
        <v>0</v>
      </c>
      <c r="AI29" s="581">
        <f>SUM($G29:K29)</f>
        <v>424288.80000000016</v>
      </c>
      <c r="AJ29" s="581">
        <f>SUM($G29:P29)</f>
        <v>848577.60000000033</v>
      </c>
      <c r="AK29" s="581">
        <f>SUM($G29:S29)</f>
        <v>1272866.4000000004</v>
      </c>
      <c r="AL29" s="543"/>
      <c r="AM29" s="543"/>
      <c r="AN29" s="543"/>
      <c r="AO29" s="543"/>
      <c r="AP29" s="543"/>
      <c r="AQ29" s="543"/>
      <c r="AR29" s="543"/>
      <c r="AS29" s="543"/>
      <c r="AT29" s="543"/>
    </row>
    <row r="30" spans="1:46" ht="17.25" customHeight="1" x14ac:dyDescent="0.3">
      <c r="A30" s="582" t="s">
        <v>432</v>
      </c>
      <c r="B30" s="578">
        <f>'[5]1. Projekti elluviimise kulud'!J9/SUM([5]Допущения!C30:E31)</f>
        <v>1209.375</v>
      </c>
      <c r="C30" s="559" t="s">
        <v>431</v>
      </c>
      <c r="D30" s="558" t="s">
        <v>399</v>
      </c>
      <c r="E30" s="589">
        <f>Eeldused_muugi!E20*F22*$B$24*$B$25*$B$26*$B$30</f>
        <v>0</v>
      </c>
      <c r="F30" s="589">
        <f>Eeldused_muugi!F20*G22*$B$24*$B$25*$B$26*$B$30</f>
        <v>0</v>
      </c>
      <c r="G30" s="589">
        <f>Eeldused_muugi!G20*H22*$B$24*$B$25*$B$26*$B$30</f>
        <v>0</v>
      </c>
      <c r="H30" s="590">
        <f>Eeldused_muugi!H20*I22*$B$24*$B$25*$B$26*$B$30</f>
        <v>0</v>
      </c>
      <c r="I30" s="590">
        <f>Eeldused_muugi!I20*J22*$B$24*$B$25*$B$26*$B$30</f>
        <v>0</v>
      </c>
      <c r="J30" s="590">
        <f>Eeldused_muugi!J20*K22*$B$24*$B$25*$B$26*$B$30</f>
        <v>11402761.500000006</v>
      </c>
      <c r="K30" s="590">
        <f>Eeldused_muugi!K20*L22*$B$24*$B$25*$B$26*$B$30</f>
        <v>0</v>
      </c>
      <c r="L30" s="590">
        <f>Eeldused_muugi!L20*M22*$B$24*$B$25*$B$26*$B$30</f>
        <v>0</v>
      </c>
      <c r="M30" s="590">
        <f>Eeldused_muugi!M20*N22*$B$24*$B$25*$B$26*$B$30</f>
        <v>0</v>
      </c>
      <c r="N30" s="590">
        <f>Eeldused_muugi!N20*O22*$B$24*$B$25*$B$26*$B$30</f>
        <v>11402761.500000006</v>
      </c>
      <c r="O30" s="590">
        <f>Eeldused_muugi!O20*P22*$B$24*$B$25*$B$26*$B$30</f>
        <v>0</v>
      </c>
      <c r="P30" s="590">
        <f>Eeldused_muugi!P20*Q22*$B$24*$B$25*$B$26*$B$30</f>
        <v>0</v>
      </c>
      <c r="Q30" s="590">
        <f>Eeldused_muugi!Q20*R22*$B$24*$B$25*$B$26*$B$30</f>
        <v>0</v>
      </c>
      <c r="R30" s="590">
        <f>Eeldused_muugi!R20*S22*$B$24*$B$25*$B$26*$B$30</f>
        <v>11402761.500000006</v>
      </c>
      <c r="S30" s="590">
        <f>Eeldused_muugi!S20*T22*$B$24*$B$25*$B$26*$B$30</f>
        <v>0</v>
      </c>
      <c r="T30" s="590">
        <f>Eeldused_muugi!T20*U22*$B$24*$B$25*$B$26*$B$30</f>
        <v>0</v>
      </c>
      <c r="U30" s="590">
        <f>Eeldused_muugi!U20*V22*$B$24*$B$25*$B$26*$B$30</f>
        <v>0</v>
      </c>
      <c r="V30" s="590">
        <f>Eeldused_muugi!V20*W22*$B$24*$B$25*$B$26*$B$30</f>
        <v>11402761.500000006</v>
      </c>
      <c r="W30" s="590">
        <f>Eeldused_muugi!W20*X22*$B$24*$B$25*$B$26*$B$30</f>
        <v>0</v>
      </c>
      <c r="X30" s="590">
        <f>Eeldused_muugi!X20*Y22*$B$24*$B$25*$B$26*$B$30</f>
        <v>0</v>
      </c>
      <c r="Y30" s="590">
        <f>Eeldused_muugi!Y20*Z22*$B$24*$B$25*$B$26*$B$30</f>
        <v>0</v>
      </c>
      <c r="Z30" s="590">
        <f>Eeldused_muugi!Z20*AA22*$B$24*$B$25*$B$26*$B$30</f>
        <v>11402761.500000006</v>
      </c>
      <c r="AA30" s="590">
        <f>Eeldused_muugi!AA20*AB22*$B$24*$B$25*$B$26*$B$30</f>
        <v>0</v>
      </c>
      <c r="AB30" s="590">
        <f>Eeldused_muugi!AB20*AC22*$B$24*$B$25*$B$26*$B$30</f>
        <v>0</v>
      </c>
      <c r="AC30" s="590">
        <f>Eeldused_muugi!AC20*AD22*$B$24*$B$25*$B$26*$B$30</f>
        <v>0</v>
      </c>
      <c r="AD30" s="590">
        <f>Eeldused_muugi!AD20*AE22*$B$24*$B$25*$B$26*$B$30</f>
        <v>11402761.500000006</v>
      </c>
      <c r="AE30" s="590">
        <f>Eeldused_muugi!AE20*AF22*$B$24*$B$25*$B$26*$B$30</f>
        <v>0</v>
      </c>
      <c r="AF30" s="572">
        <f t="shared" si="22"/>
        <v>34208284.500000015</v>
      </c>
      <c r="AG30" s="543"/>
      <c r="AH30" s="572">
        <f>SUM($G30:I30)</f>
        <v>0</v>
      </c>
      <c r="AI30" s="572">
        <f>SUM($G30:K30)</f>
        <v>11402761.500000006</v>
      </c>
      <c r="AJ30" s="572">
        <f>SUM($G30:P30)</f>
        <v>22805523.000000011</v>
      </c>
      <c r="AK30" s="572">
        <f>SUM($G30:S30)</f>
        <v>34208284.500000015</v>
      </c>
      <c r="AL30" s="543"/>
      <c r="AM30" s="543"/>
      <c r="AN30" s="543"/>
      <c r="AO30" s="543"/>
      <c r="AP30" s="543"/>
      <c r="AQ30" s="543"/>
      <c r="AR30" s="543"/>
      <c r="AS30" s="543"/>
      <c r="AT30" s="543"/>
    </row>
    <row r="31" spans="1:46" ht="26.25" customHeight="1" x14ac:dyDescent="0.3">
      <c r="A31" s="582" t="s">
        <v>433</v>
      </c>
      <c r="B31" s="568">
        <v>3</v>
      </c>
      <c r="C31" s="569" t="s">
        <v>426</v>
      </c>
      <c r="D31" s="558" t="s">
        <v>399</v>
      </c>
      <c r="E31" s="589">
        <f t="shared" ref="E31:I31" si="23">F22*$B$24*$B$25*$B$31*$B$8</f>
        <v>0</v>
      </c>
      <c r="F31" s="589">
        <f t="shared" si="23"/>
        <v>0</v>
      </c>
      <c r="G31" s="589">
        <f t="shared" si="23"/>
        <v>0</v>
      </c>
      <c r="H31" s="590">
        <f t="shared" si="23"/>
        <v>0</v>
      </c>
      <c r="I31" s="590">
        <f t="shared" si="23"/>
        <v>0</v>
      </c>
      <c r="J31" s="590">
        <f>K22*$B$24*$B$25*$B$31*$B$8</f>
        <v>9600000.0000000019</v>
      </c>
      <c r="K31" s="590">
        <f t="shared" ref="K31:AD31" si="24">L22*$B$24*$B$25*$B$31*$B$8</f>
        <v>0</v>
      </c>
      <c r="L31" s="590">
        <f t="shared" si="24"/>
        <v>0</v>
      </c>
      <c r="M31" s="590">
        <f t="shared" si="24"/>
        <v>0</v>
      </c>
      <c r="N31" s="590">
        <f t="shared" si="24"/>
        <v>9600000.0000000019</v>
      </c>
      <c r="O31" s="590">
        <f t="shared" si="24"/>
        <v>0</v>
      </c>
      <c r="P31" s="590">
        <f t="shared" si="24"/>
        <v>0</v>
      </c>
      <c r="Q31" s="590">
        <f t="shared" si="24"/>
        <v>0</v>
      </c>
      <c r="R31" s="590">
        <f t="shared" si="24"/>
        <v>9600000.0000000019</v>
      </c>
      <c r="S31" s="590">
        <f t="shared" si="24"/>
        <v>0</v>
      </c>
      <c r="T31" s="590">
        <f t="shared" si="24"/>
        <v>0</v>
      </c>
      <c r="U31" s="590">
        <f t="shared" si="24"/>
        <v>0</v>
      </c>
      <c r="V31" s="590">
        <f t="shared" si="24"/>
        <v>9600000.0000000019</v>
      </c>
      <c r="W31" s="590">
        <f t="shared" si="24"/>
        <v>0</v>
      </c>
      <c r="X31" s="590">
        <f t="shared" si="24"/>
        <v>0</v>
      </c>
      <c r="Y31" s="590">
        <f t="shared" si="24"/>
        <v>0</v>
      </c>
      <c r="Z31" s="590">
        <f t="shared" si="24"/>
        <v>9600000.0000000019</v>
      </c>
      <c r="AA31" s="590">
        <f t="shared" si="24"/>
        <v>0</v>
      </c>
      <c r="AB31" s="590">
        <f t="shared" si="24"/>
        <v>0</v>
      </c>
      <c r="AC31" s="590">
        <f t="shared" si="24"/>
        <v>0</v>
      </c>
      <c r="AD31" s="590">
        <f t="shared" si="24"/>
        <v>9600000.0000000019</v>
      </c>
      <c r="AE31" s="590"/>
      <c r="AF31" s="572">
        <f t="shared" si="22"/>
        <v>28800000.000000007</v>
      </c>
      <c r="AG31" s="543"/>
      <c r="AH31" s="572">
        <f>SUM($G31:I31)</f>
        <v>0</v>
      </c>
      <c r="AI31" s="572">
        <f>SUM($G31:K31)</f>
        <v>9600000.0000000019</v>
      </c>
      <c r="AJ31" s="572">
        <f>SUM($G31:P31)</f>
        <v>19200000.000000004</v>
      </c>
      <c r="AK31" s="572">
        <f>SUM($G31:S31)</f>
        <v>28800000.000000007</v>
      </c>
      <c r="AL31" s="543"/>
      <c r="AM31" s="543"/>
      <c r="AN31" s="543"/>
      <c r="AO31" s="543"/>
      <c r="AP31" s="543"/>
      <c r="AQ31" s="543"/>
      <c r="AR31" s="543"/>
      <c r="AS31" s="543"/>
      <c r="AT31" s="543"/>
    </row>
    <row r="32" spans="1:46" ht="15.75" customHeight="1" x14ac:dyDescent="0.3">
      <c r="A32" s="587" t="s">
        <v>400</v>
      </c>
      <c r="B32" s="568">
        <v>3</v>
      </c>
      <c r="C32" s="569" t="s">
        <v>434</v>
      </c>
      <c r="D32" s="558" t="s">
        <v>399</v>
      </c>
      <c r="E32" s="573"/>
      <c r="F32" s="573"/>
      <c r="G32" s="573">
        <f t="shared" ref="G32:J32" si="25">G9/G6*($B$32*G24+(G23-G24))</f>
        <v>0</v>
      </c>
      <c r="H32" s="572">
        <f>H9/H6*($B$32*H24+(H23-H24))</f>
        <v>0</v>
      </c>
      <c r="I32" s="572">
        <f t="shared" si="25"/>
        <v>0</v>
      </c>
      <c r="J32" s="572">
        <f t="shared" si="25"/>
        <v>0</v>
      </c>
      <c r="K32" s="572">
        <f>K9/K6*($B$32*K24+(K23-K24))</f>
        <v>48348040</v>
      </c>
      <c r="L32" s="572">
        <f t="shared" ref="L32:AE32" si="26">L9/L6*($B$32*L24+(L23-L24))</f>
        <v>48348040</v>
      </c>
      <c r="M32" s="572">
        <f t="shared" si="26"/>
        <v>48348040</v>
      </c>
      <c r="N32" s="572">
        <f t="shared" si="26"/>
        <v>48348040</v>
      </c>
      <c r="O32" s="572">
        <f t="shared" si="26"/>
        <v>96696080</v>
      </c>
      <c r="P32" s="572">
        <f t="shared" si="26"/>
        <v>96696080</v>
      </c>
      <c r="Q32" s="572">
        <f t="shared" si="26"/>
        <v>96696080</v>
      </c>
      <c r="R32" s="572">
        <f t="shared" si="26"/>
        <v>96696080</v>
      </c>
      <c r="S32" s="572">
        <f t="shared" si="26"/>
        <v>145044120</v>
      </c>
      <c r="T32" s="572">
        <f t="shared" si="26"/>
        <v>145044120</v>
      </c>
      <c r="U32" s="572">
        <f t="shared" si="26"/>
        <v>145044120</v>
      </c>
      <c r="V32" s="572">
        <f t="shared" si="26"/>
        <v>145044120</v>
      </c>
      <c r="W32" s="572">
        <f t="shared" si="26"/>
        <v>193392160</v>
      </c>
      <c r="X32" s="572">
        <f t="shared" si="26"/>
        <v>193392160</v>
      </c>
      <c r="Y32" s="572">
        <f t="shared" si="26"/>
        <v>193392160</v>
      </c>
      <c r="Z32" s="572">
        <f t="shared" si="26"/>
        <v>193392160</v>
      </c>
      <c r="AA32" s="572">
        <f t="shared" si="26"/>
        <v>241740200</v>
      </c>
      <c r="AB32" s="572">
        <f t="shared" si="26"/>
        <v>241740200</v>
      </c>
      <c r="AC32" s="572">
        <f t="shared" si="26"/>
        <v>241740200</v>
      </c>
      <c r="AD32" s="572">
        <f t="shared" si="26"/>
        <v>241740200</v>
      </c>
      <c r="AE32" s="572">
        <f t="shared" si="26"/>
        <v>290088240</v>
      </c>
      <c r="AF32" s="572">
        <f t="shared" si="22"/>
        <v>725220600</v>
      </c>
      <c r="AG32" s="543"/>
      <c r="AH32" s="572">
        <f>SUM($G32:I32)</f>
        <v>0</v>
      </c>
      <c r="AI32" s="572">
        <f>SUM($G32:K32)</f>
        <v>48348040</v>
      </c>
      <c r="AJ32" s="572">
        <f>SUM($G32:P32)</f>
        <v>386784320</v>
      </c>
      <c r="AK32" s="572">
        <f>SUM($G32:S32)</f>
        <v>725220600</v>
      </c>
      <c r="AL32" s="543"/>
      <c r="AM32" s="543"/>
      <c r="AN32" s="543"/>
      <c r="AO32" s="543"/>
      <c r="AP32" s="543"/>
      <c r="AQ32" s="543"/>
      <c r="AR32" s="543"/>
      <c r="AS32" s="543"/>
      <c r="AT32" s="543"/>
    </row>
    <row r="33" spans="1:46" ht="15.75" customHeight="1" x14ac:dyDescent="0.3">
      <c r="A33" s="587" t="s">
        <v>435</v>
      </c>
      <c r="B33" s="574">
        <v>0.8</v>
      </c>
      <c r="C33" s="569" t="s">
        <v>403</v>
      </c>
      <c r="D33" s="558" t="s">
        <v>399</v>
      </c>
      <c r="E33" s="573">
        <f t="shared" ref="E33:J33" si="27">E32*$B$33</f>
        <v>0</v>
      </c>
      <c r="F33" s="573">
        <f t="shared" si="27"/>
        <v>0</v>
      </c>
      <c r="G33" s="573">
        <f t="shared" si="27"/>
        <v>0</v>
      </c>
      <c r="H33" s="572">
        <f t="shared" si="27"/>
        <v>0</v>
      </c>
      <c r="I33" s="572">
        <f t="shared" si="27"/>
        <v>0</v>
      </c>
      <c r="J33" s="572">
        <f t="shared" si="27"/>
        <v>0</v>
      </c>
      <c r="K33" s="572">
        <f>K32*$B$33</f>
        <v>38678432</v>
      </c>
      <c r="L33" s="572">
        <f t="shared" ref="L33:AE33" si="28">L32*$B$33</f>
        <v>38678432</v>
      </c>
      <c r="M33" s="572">
        <f t="shared" si="28"/>
        <v>38678432</v>
      </c>
      <c r="N33" s="572">
        <f t="shared" si="28"/>
        <v>38678432</v>
      </c>
      <c r="O33" s="572">
        <f t="shared" si="28"/>
        <v>77356864</v>
      </c>
      <c r="P33" s="572">
        <f t="shared" si="28"/>
        <v>77356864</v>
      </c>
      <c r="Q33" s="572">
        <f t="shared" si="28"/>
        <v>77356864</v>
      </c>
      <c r="R33" s="572">
        <f t="shared" si="28"/>
        <v>77356864</v>
      </c>
      <c r="S33" s="572">
        <f t="shared" si="28"/>
        <v>116035296</v>
      </c>
      <c r="T33" s="572">
        <f t="shared" si="28"/>
        <v>116035296</v>
      </c>
      <c r="U33" s="572">
        <f t="shared" si="28"/>
        <v>116035296</v>
      </c>
      <c r="V33" s="572">
        <f t="shared" si="28"/>
        <v>116035296</v>
      </c>
      <c r="W33" s="572">
        <f t="shared" si="28"/>
        <v>154713728</v>
      </c>
      <c r="X33" s="572">
        <f t="shared" si="28"/>
        <v>154713728</v>
      </c>
      <c r="Y33" s="572">
        <f t="shared" si="28"/>
        <v>154713728</v>
      </c>
      <c r="Z33" s="572">
        <f t="shared" si="28"/>
        <v>154713728</v>
      </c>
      <c r="AA33" s="572">
        <f t="shared" si="28"/>
        <v>193392160</v>
      </c>
      <c r="AB33" s="572">
        <f t="shared" si="28"/>
        <v>193392160</v>
      </c>
      <c r="AC33" s="572">
        <f t="shared" si="28"/>
        <v>193392160</v>
      </c>
      <c r="AD33" s="572">
        <f t="shared" si="28"/>
        <v>193392160</v>
      </c>
      <c r="AE33" s="572">
        <f t="shared" si="28"/>
        <v>232070592</v>
      </c>
      <c r="AF33" s="572">
        <f t="shared" si="22"/>
        <v>580176480</v>
      </c>
      <c r="AG33" s="543"/>
      <c r="AH33" s="572">
        <f>SUM($G33:I33)</f>
        <v>0</v>
      </c>
      <c r="AI33" s="572">
        <f>SUM($G33:K33)</f>
        <v>38678432</v>
      </c>
      <c r="AJ33" s="572">
        <f>SUM($G33:P33)</f>
        <v>309427456</v>
      </c>
      <c r="AK33" s="572">
        <f>SUM($G33:S33)</f>
        <v>580176480</v>
      </c>
      <c r="AL33" s="543"/>
      <c r="AM33" s="543"/>
      <c r="AN33" s="543"/>
      <c r="AO33" s="543"/>
      <c r="AP33" s="543"/>
      <c r="AQ33" s="543"/>
      <c r="AR33" s="543"/>
      <c r="AS33" s="543"/>
      <c r="AT33" s="543"/>
    </row>
    <row r="34" spans="1:46" ht="25.5" customHeight="1" x14ac:dyDescent="0.3">
      <c r="A34" s="565" t="s">
        <v>404</v>
      </c>
      <c r="B34" s="568">
        <f>B11</f>
        <v>35599.999999999993</v>
      </c>
      <c r="C34" s="569" t="s">
        <v>401</v>
      </c>
      <c r="D34" s="558" t="s">
        <v>399</v>
      </c>
      <c r="E34" s="573"/>
      <c r="F34" s="573"/>
      <c r="G34" s="570">
        <f>G35*$B$11</f>
        <v>0</v>
      </c>
      <c r="H34" s="571">
        <f t="shared" ref="H34:AE34" si="29">H35*$B$11</f>
        <v>0</v>
      </c>
      <c r="I34" s="571">
        <f t="shared" si="29"/>
        <v>0</v>
      </c>
      <c r="J34" s="571">
        <f t="shared" si="29"/>
        <v>0</v>
      </c>
      <c r="K34" s="571">
        <f t="shared" si="29"/>
        <v>8536879.9999999981</v>
      </c>
      <c r="L34" s="571">
        <f t="shared" si="29"/>
        <v>8536879.9999999981</v>
      </c>
      <c r="M34" s="571">
        <f t="shared" si="29"/>
        <v>8536879.9999999981</v>
      </c>
      <c r="N34" s="571">
        <f t="shared" si="29"/>
        <v>8536879.9999999981</v>
      </c>
      <c r="O34" s="571">
        <f t="shared" si="29"/>
        <v>17073759.999999996</v>
      </c>
      <c r="P34" s="571">
        <f t="shared" si="29"/>
        <v>17073759.999999996</v>
      </c>
      <c r="Q34" s="571">
        <f t="shared" si="29"/>
        <v>17073759.999999996</v>
      </c>
      <c r="R34" s="571">
        <f t="shared" si="29"/>
        <v>17073759.999999996</v>
      </c>
      <c r="S34" s="571">
        <f t="shared" si="29"/>
        <v>25610639.999999993</v>
      </c>
      <c r="T34" s="571">
        <f t="shared" si="29"/>
        <v>25610639.999999993</v>
      </c>
      <c r="U34" s="571">
        <f t="shared" si="29"/>
        <v>25610639.999999993</v>
      </c>
      <c r="V34" s="571">
        <f t="shared" si="29"/>
        <v>25610639.999999993</v>
      </c>
      <c r="W34" s="571">
        <f t="shared" si="29"/>
        <v>34147519.999999993</v>
      </c>
      <c r="X34" s="571">
        <f t="shared" si="29"/>
        <v>34147519.999999993</v>
      </c>
      <c r="Y34" s="571">
        <f t="shared" si="29"/>
        <v>34147519.999999993</v>
      </c>
      <c r="Z34" s="571">
        <f t="shared" si="29"/>
        <v>34147519.999999993</v>
      </c>
      <c r="AA34" s="571">
        <f t="shared" si="29"/>
        <v>42684399.999999993</v>
      </c>
      <c r="AB34" s="571">
        <f t="shared" si="29"/>
        <v>42684399.999999993</v>
      </c>
      <c r="AC34" s="571">
        <f t="shared" si="29"/>
        <v>42684399.999999993</v>
      </c>
      <c r="AD34" s="571">
        <f t="shared" si="29"/>
        <v>42684399.999999993</v>
      </c>
      <c r="AE34" s="571">
        <f t="shared" si="29"/>
        <v>51221279.999999985</v>
      </c>
      <c r="AF34" s="572">
        <f t="shared" si="22"/>
        <v>128053199.99999997</v>
      </c>
      <c r="AG34" s="543"/>
      <c r="AH34" s="572">
        <f>SUM($G34:I34)</f>
        <v>0</v>
      </c>
      <c r="AI34" s="572">
        <f>SUM($G34:K34)</f>
        <v>8536879.9999999981</v>
      </c>
      <c r="AJ34" s="572">
        <f>SUM($G34:P34)</f>
        <v>68295039.999999985</v>
      </c>
      <c r="AK34" s="572">
        <f>SUM($G34:S34)</f>
        <v>128053199.99999997</v>
      </c>
      <c r="AL34" s="543"/>
      <c r="AM34" s="543"/>
      <c r="AN34" s="543"/>
      <c r="AO34" s="543"/>
      <c r="AP34" s="543"/>
      <c r="AQ34" s="543"/>
      <c r="AR34" s="543"/>
      <c r="AS34" s="543"/>
      <c r="AT34" s="543"/>
    </row>
    <row r="35" spans="1:46" ht="15.75" customHeight="1" x14ac:dyDescent="0.3">
      <c r="A35" s="587" t="s">
        <v>405</v>
      </c>
      <c r="B35" s="591">
        <v>2.5</v>
      </c>
      <c r="C35" s="569" t="s">
        <v>434</v>
      </c>
      <c r="D35" s="558" t="s">
        <v>406</v>
      </c>
      <c r="E35" s="578"/>
      <c r="F35" s="578"/>
      <c r="G35" s="578">
        <f t="shared" ref="G35:J35" si="30">G12/G6*($B$35*G24+(G23-G24))</f>
        <v>0</v>
      </c>
      <c r="H35" s="564">
        <f t="shared" si="30"/>
        <v>0</v>
      </c>
      <c r="I35" s="564">
        <f t="shared" si="30"/>
        <v>0</v>
      </c>
      <c r="J35" s="564">
        <f t="shared" si="30"/>
        <v>0</v>
      </c>
      <c r="K35" s="564">
        <f>K12/K6*($B$35*K24+(K23-K24))</f>
        <v>239.8</v>
      </c>
      <c r="L35" s="564">
        <f t="shared" ref="L35:AE35" si="31">L12/L6*($B$35*L24+(L23-L24))</f>
        <v>239.8</v>
      </c>
      <c r="M35" s="564">
        <f t="shared" si="31"/>
        <v>239.8</v>
      </c>
      <c r="N35" s="564">
        <f t="shared" si="31"/>
        <v>239.8</v>
      </c>
      <c r="O35" s="564">
        <f t="shared" si="31"/>
        <v>479.6</v>
      </c>
      <c r="P35" s="564">
        <f t="shared" si="31"/>
        <v>479.6</v>
      </c>
      <c r="Q35" s="564">
        <f t="shared" si="31"/>
        <v>479.6</v>
      </c>
      <c r="R35" s="564">
        <f t="shared" si="31"/>
        <v>479.6</v>
      </c>
      <c r="S35" s="564">
        <f t="shared" si="31"/>
        <v>719.4</v>
      </c>
      <c r="T35" s="564">
        <f t="shared" si="31"/>
        <v>719.4</v>
      </c>
      <c r="U35" s="564">
        <f t="shared" si="31"/>
        <v>719.4</v>
      </c>
      <c r="V35" s="564">
        <f t="shared" si="31"/>
        <v>719.4</v>
      </c>
      <c r="W35" s="564">
        <f t="shared" si="31"/>
        <v>959.2</v>
      </c>
      <c r="X35" s="564">
        <f t="shared" si="31"/>
        <v>959.2</v>
      </c>
      <c r="Y35" s="564">
        <f t="shared" si="31"/>
        <v>959.2</v>
      </c>
      <c r="Z35" s="564">
        <f t="shared" si="31"/>
        <v>959.2</v>
      </c>
      <c r="AA35" s="564">
        <f t="shared" si="31"/>
        <v>1199</v>
      </c>
      <c r="AB35" s="564">
        <f t="shared" si="31"/>
        <v>1199</v>
      </c>
      <c r="AC35" s="564">
        <f t="shared" si="31"/>
        <v>1199</v>
      </c>
      <c r="AD35" s="564">
        <f t="shared" si="31"/>
        <v>1199</v>
      </c>
      <c r="AE35" s="564">
        <f t="shared" si="31"/>
        <v>1438.8</v>
      </c>
      <c r="AF35" s="576">
        <f>S35</f>
        <v>719.4</v>
      </c>
      <c r="AG35" s="543"/>
      <c r="AH35" s="576">
        <f>I35</f>
        <v>0</v>
      </c>
      <c r="AI35" s="576">
        <f>K35</f>
        <v>239.8</v>
      </c>
      <c r="AJ35" s="576">
        <f>P35</f>
        <v>479.6</v>
      </c>
      <c r="AK35" s="576">
        <f>S35</f>
        <v>719.4</v>
      </c>
      <c r="AL35" s="543"/>
      <c r="AM35" s="543"/>
      <c r="AN35" s="543"/>
      <c r="AO35" s="543"/>
      <c r="AP35" s="543"/>
      <c r="AQ35" s="543"/>
      <c r="AR35" s="543"/>
      <c r="AS35" s="543"/>
      <c r="AT35" s="543"/>
    </row>
    <row r="36" spans="1:46" ht="15.75" customHeight="1" x14ac:dyDescent="0.3">
      <c r="A36" s="587" t="s">
        <v>407</v>
      </c>
      <c r="B36" s="578">
        <f>[5]Stat!C25</f>
        <v>1402</v>
      </c>
      <c r="C36" s="569" t="s">
        <v>408</v>
      </c>
      <c r="D36" s="558" t="s">
        <v>399</v>
      </c>
      <c r="E36" s="570">
        <f>$B$36*12*E35</f>
        <v>0</v>
      </c>
      <c r="F36" s="570">
        <f t="shared" ref="F36:AE36" si="32">$B$36*12*F35</f>
        <v>0</v>
      </c>
      <c r="G36" s="570">
        <f t="shared" si="32"/>
        <v>0</v>
      </c>
      <c r="H36" s="571">
        <f t="shared" si="32"/>
        <v>0</v>
      </c>
      <c r="I36" s="571">
        <f t="shared" si="32"/>
        <v>0</v>
      </c>
      <c r="J36" s="571">
        <f t="shared" si="32"/>
        <v>0</v>
      </c>
      <c r="K36" s="571">
        <f t="shared" si="32"/>
        <v>4034395.2</v>
      </c>
      <c r="L36" s="571">
        <f t="shared" si="32"/>
        <v>4034395.2</v>
      </c>
      <c r="M36" s="571">
        <f t="shared" si="32"/>
        <v>4034395.2</v>
      </c>
      <c r="N36" s="571">
        <f t="shared" si="32"/>
        <v>4034395.2</v>
      </c>
      <c r="O36" s="571">
        <f t="shared" si="32"/>
        <v>8068790.4000000004</v>
      </c>
      <c r="P36" s="571">
        <f t="shared" si="32"/>
        <v>8068790.4000000004</v>
      </c>
      <c r="Q36" s="571">
        <f t="shared" si="32"/>
        <v>8068790.4000000004</v>
      </c>
      <c r="R36" s="571">
        <f t="shared" si="32"/>
        <v>8068790.4000000004</v>
      </c>
      <c r="S36" s="571">
        <f t="shared" si="32"/>
        <v>12103185.6</v>
      </c>
      <c r="T36" s="571">
        <f t="shared" si="32"/>
        <v>12103185.6</v>
      </c>
      <c r="U36" s="571">
        <f t="shared" si="32"/>
        <v>12103185.6</v>
      </c>
      <c r="V36" s="571">
        <f t="shared" si="32"/>
        <v>12103185.6</v>
      </c>
      <c r="W36" s="571">
        <f t="shared" si="32"/>
        <v>16137580.800000001</v>
      </c>
      <c r="X36" s="571">
        <f t="shared" si="32"/>
        <v>16137580.800000001</v>
      </c>
      <c r="Y36" s="571">
        <f t="shared" si="32"/>
        <v>16137580.800000001</v>
      </c>
      <c r="Z36" s="571">
        <f t="shared" si="32"/>
        <v>16137580.800000001</v>
      </c>
      <c r="AA36" s="571">
        <f t="shared" si="32"/>
        <v>20171976</v>
      </c>
      <c r="AB36" s="571">
        <f t="shared" si="32"/>
        <v>20171976</v>
      </c>
      <c r="AC36" s="571">
        <f t="shared" si="32"/>
        <v>20171976</v>
      </c>
      <c r="AD36" s="571">
        <f t="shared" si="32"/>
        <v>20171976</v>
      </c>
      <c r="AE36" s="571">
        <f t="shared" si="32"/>
        <v>24206371.199999999</v>
      </c>
      <c r="AF36" s="581">
        <f t="shared" ref="AF36:AF46" si="33">SUM(E36:S36)</f>
        <v>60515928</v>
      </c>
      <c r="AG36" s="543"/>
      <c r="AH36" s="572">
        <f>SUM($G36:I36)</f>
        <v>0</v>
      </c>
      <c r="AI36" s="572">
        <f>SUM($G36:K36)</f>
        <v>4034395.2</v>
      </c>
      <c r="AJ36" s="572">
        <f>SUM($G36:P36)</f>
        <v>32275161.600000001</v>
      </c>
      <c r="AK36" s="572">
        <f>SUM($G36:S36)</f>
        <v>60515928</v>
      </c>
      <c r="AL36" s="543"/>
      <c r="AM36" s="543"/>
      <c r="AN36" s="543"/>
      <c r="AO36" s="543"/>
      <c r="AP36" s="543"/>
      <c r="AQ36" s="543"/>
      <c r="AR36" s="543"/>
      <c r="AS36" s="543"/>
      <c r="AT36" s="543"/>
    </row>
    <row r="37" spans="1:46" x14ac:dyDescent="0.3">
      <c r="A37" s="587" t="s">
        <v>409</v>
      </c>
      <c r="B37" s="592"/>
      <c r="C37" s="592"/>
      <c r="D37" s="558" t="s">
        <v>399</v>
      </c>
      <c r="E37" s="580">
        <f>E36*([5]Maksumäärad!B3+[5]Maksumäärad!B4)</f>
        <v>0</v>
      </c>
      <c r="F37" s="580">
        <f>F36*([5]Maksumäärad!C3+[5]Maksumäärad!C4)</f>
        <v>0</v>
      </c>
      <c r="G37" s="580">
        <f>G36*([5]Maksumäärad!D3+[5]Maksumäärad!D4)</f>
        <v>0</v>
      </c>
      <c r="H37" s="581">
        <f>H36*([5]Maksumäärad!E3+[5]Maksumäärad!E4)</f>
        <v>0</v>
      </c>
      <c r="I37" s="581">
        <f>I36*([5]Maksumäärad!F3+[5]Maksumäärad!F4)</f>
        <v>0</v>
      </c>
      <c r="J37" s="581">
        <f>J36*([5]Maksumäärad!G3+[5]Maksumäärad!G4)</f>
        <v>0</v>
      </c>
      <c r="K37" s="581">
        <f>K36*(Maksumäärad!H3+Maksumäärad!H4)</f>
        <v>1363625.5776000002</v>
      </c>
      <c r="L37" s="581">
        <f>L36*(Maksumäärad!I3+Maksumäärad!I4)</f>
        <v>1363625.5776000002</v>
      </c>
      <c r="M37" s="581">
        <f>M36*(Maksumäärad!J3+Maksumäärad!J4)</f>
        <v>1363625.5776000002</v>
      </c>
      <c r="N37" s="581">
        <f>N36*(Maksumäärad!K3+Maksumäärad!K4)</f>
        <v>1363625.5776000002</v>
      </c>
      <c r="O37" s="581">
        <f>O36*(Maksumäärad!L3+Maksumäärad!L4)</f>
        <v>2727251.1552000004</v>
      </c>
      <c r="P37" s="581">
        <f>P36*(Maksumäärad!M3+Maksumäärad!M4)</f>
        <v>2727251.1552000004</v>
      </c>
      <c r="Q37" s="581">
        <f>Q36*(Maksumäärad!N3+Maksumäärad!N4)</f>
        <v>2727251.1552000004</v>
      </c>
      <c r="R37" s="581">
        <f>R36*(Maksumäärad!O3+Maksumäärad!O4)</f>
        <v>2727251.1552000004</v>
      </c>
      <c r="S37" s="581">
        <f>S36*(Maksumäärad!P3+Maksumäärad!P4)</f>
        <v>4090876.7328000003</v>
      </c>
      <c r="T37" s="581">
        <f>T36*(Maksumäärad!Q3+Maksumäärad!Q4)</f>
        <v>0</v>
      </c>
      <c r="U37" s="581">
        <f>U36*(Maksumäärad!R3+Maksumäärad!R4)</f>
        <v>0</v>
      </c>
      <c r="V37" s="581">
        <f>V36*(Maksumäärad!S3+Maksumäärad!S4)</f>
        <v>0</v>
      </c>
      <c r="W37" s="581">
        <f>W36*(Maksumäärad!T3+Maksumäärad!T4)</f>
        <v>0</v>
      </c>
      <c r="X37" s="581">
        <f>X36*(Maksumäärad!U3+Maksumäärad!U4)</f>
        <v>0</v>
      </c>
      <c r="Y37" s="581">
        <f>Y36*(Maksumäärad!V3+Maksumäärad!V4)</f>
        <v>0</v>
      </c>
      <c r="Z37" s="581">
        <f>Z36*(Maksumäärad!W3+Maksumäärad!W4)</f>
        <v>0</v>
      </c>
      <c r="AA37" s="581">
        <f>AA36*(Maksumäärad!X3+Maksumäärad!X4)</f>
        <v>0</v>
      </c>
      <c r="AB37" s="581">
        <f>AB36*(Maksumäärad!Y3+Maksumäärad!Y4)</f>
        <v>0</v>
      </c>
      <c r="AC37" s="581">
        <f>AC36*(Maksumäärad!Z3+Maksumäärad!Z4)</f>
        <v>0</v>
      </c>
      <c r="AD37" s="581">
        <f>AD36*(Maksumäärad!AA3+Maksumäärad!AA4)</f>
        <v>0</v>
      </c>
      <c r="AE37" s="581">
        <f>AE36*(Maksumäärad!AB3+Maksumäärad!AB4)</f>
        <v>0</v>
      </c>
      <c r="AF37" s="581">
        <f t="shared" si="33"/>
        <v>20454383.664000005</v>
      </c>
      <c r="AG37" s="543"/>
      <c r="AH37" s="572">
        <f>SUM($G37:I37)</f>
        <v>0</v>
      </c>
      <c r="AI37" s="572">
        <f>SUM($G37:K37)</f>
        <v>1363625.5776000002</v>
      </c>
      <c r="AJ37" s="572">
        <f>SUM($G37:P37)</f>
        <v>10909004.620800002</v>
      </c>
      <c r="AK37" s="572">
        <f>SUM($G37:S37)</f>
        <v>20454383.664000005</v>
      </c>
      <c r="AL37" s="543"/>
      <c r="AM37" s="543"/>
      <c r="AN37" s="543"/>
      <c r="AO37" s="543"/>
      <c r="AP37" s="543"/>
      <c r="AQ37" s="543"/>
      <c r="AR37" s="543"/>
      <c r="AS37" s="543"/>
      <c r="AT37" s="543"/>
    </row>
    <row r="38" spans="1:46" x14ac:dyDescent="0.3">
      <c r="A38" s="587" t="s">
        <v>410</v>
      </c>
      <c r="B38" s="592">
        <f>B15</f>
        <v>0.2</v>
      </c>
      <c r="C38" s="592"/>
      <c r="D38" s="558" t="s">
        <v>399</v>
      </c>
      <c r="E38" s="580">
        <f t="shared" ref="E38:J38" si="34">IF(E35=0,0,(E36/E35/12-E36*0.02/E35/12-500)*$B$38*12*E35)</f>
        <v>0</v>
      </c>
      <c r="F38" s="580">
        <f t="shared" si="34"/>
        <v>0</v>
      </c>
      <c r="G38" s="580">
        <f t="shared" si="34"/>
        <v>0</v>
      </c>
      <c r="H38" s="581">
        <f t="shared" si="34"/>
        <v>0</v>
      </c>
      <c r="I38" s="581">
        <f t="shared" si="34"/>
        <v>0</v>
      </c>
      <c r="J38" s="581">
        <f t="shared" si="34"/>
        <v>0</v>
      </c>
      <c r="K38" s="581">
        <f>IF(K35=0,0,(K36/K35/12-K36*0.02/K35/12-500)*$B$38*12*K35)</f>
        <v>502981.4592000001</v>
      </c>
      <c r="L38" s="581">
        <f t="shared" ref="L38:AE38" si="35">IF(L35=0,0,(L36/L35/12-L36*0.02/L35/12-500)*$B$38*12*L35)</f>
        <v>502981.4592000001</v>
      </c>
      <c r="M38" s="581">
        <f t="shared" si="35"/>
        <v>502981.4592000001</v>
      </c>
      <c r="N38" s="581">
        <f t="shared" si="35"/>
        <v>502981.4592000001</v>
      </c>
      <c r="O38" s="581">
        <f t="shared" si="35"/>
        <v>1005962.9184000002</v>
      </c>
      <c r="P38" s="581">
        <f t="shared" si="35"/>
        <v>1005962.9184000002</v>
      </c>
      <c r="Q38" s="581">
        <f t="shared" si="35"/>
        <v>1005962.9184000002</v>
      </c>
      <c r="R38" s="581">
        <f t="shared" si="35"/>
        <v>1005962.9184000002</v>
      </c>
      <c r="S38" s="581">
        <f t="shared" si="35"/>
        <v>1508944.3776000002</v>
      </c>
      <c r="T38" s="581">
        <f t="shared" si="35"/>
        <v>1508944.3776000002</v>
      </c>
      <c r="U38" s="581">
        <f t="shared" si="35"/>
        <v>1508944.3776000002</v>
      </c>
      <c r="V38" s="581">
        <f t="shared" si="35"/>
        <v>1508944.3776000002</v>
      </c>
      <c r="W38" s="581">
        <f t="shared" si="35"/>
        <v>2011925.8368000004</v>
      </c>
      <c r="X38" s="581">
        <f t="shared" si="35"/>
        <v>2011925.8368000004</v>
      </c>
      <c r="Y38" s="581">
        <f t="shared" si="35"/>
        <v>2011925.8368000004</v>
      </c>
      <c r="Z38" s="581">
        <f t="shared" si="35"/>
        <v>2011925.8368000004</v>
      </c>
      <c r="AA38" s="581">
        <f t="shared" si="35"/>
        <v>2514907.2960000006</v>
      </c>
      <c r="AB38" s="581">
        <f t="shared" si="35"/>
        <v>2514907.2960000006</v>
      </c>
      <c r="AC38" s="581">
        <f t="shared" si="35"/>
        <v>2514907.2960000006</v>
      </c>
      <c r="AD38" s="581">
        <f t="shared" si="35"/>
        <v>2514907.2960000006</v>
      </c>
      <c r="AE38" s="581">
        <f t="shared" si="35"/>
        <v>3017888.7552000005</v>
      </c>
      <c r="AF38" s="581">
        <f t="shared" si="33"/>
        <v>7544721.8880000012</v>
      </c>
      <c r="AG38" s="543"/>
      <c r="AH38" s="572">
        <f>SUM($G38:I38)</f>
        <v>0</v>
      </c>
      <c r="AI38" s="572">
        <f>SUM($G38:K38)</f>
        <v>502981.4592000001</v>
      </c>
      <c r="AJ38" s="572">
        <f>SUM($G38:P38)</f>
        <v>4023851.6736000008</v>
      </c>
      <c r="AK38" s="572">
        <f>SUM($G38:S38)</f>
        <v>7544721.8880000012</v>
      </c>
      <c r="AL38" s="543"/>
      <c r="AM38" s="543"/>
      <c r="AN38" s="543"/>
      <c r="AO38" s="543"/>
      <c r="AP38" s="543"/>
      <c r="AQ38" s="543"/>
      <c r="AR38" s="543"/>
      <c r="AS38" s="543"/>
      <c r="AT38" s="543"/>
    </row>
    <row r="39" spans="1:46" x14ac:dyDescent="0.3">
      <c r="A39" s="593" t="s">
        <v>411</v>
      </c>
      <c r="B39" s="592"/>
      <c r="C39" s="592"/>
      <c r="D39" s="558" t="s">
        <v>399</v>
      </c>
      <c r="E39" s="580">
        <f t="shared" ref="E39:AE39" si="36">E38-E40</f>
        <v>0</v>
      </c>
      <c r="F39" s="580">
        <f t="shared" si="36"/>
        <v>0</v>
      </c>
      <c r="G39" s="580">
        <f t="shared" si="36"/>
        <v>0</v>
      </c>
      <c r="H39" s="581">
        <f t="shared" si="36"/>
        <v>0</v>
      </c>
      <c r="I39" s="581">
        <f t="shared" si="36"/>
        <v>0</v>
      </c>
      <c r="J39" s="581">
        <f t="shared" si="36"/>
        <v>0</v>
      </c>
      <c r="K39" s="581">
        <f t="shared" si="36"/>
        <v>212006.68505280005</v>
      </c>
      <c r="L39" s="581">
        <f t="shared" si="36"/>
        <v>212006.68505280005</v>
      </c>
      <c r="M39" s="581">
        <f t="shared" si="36"/>
        <v>212006.68505280005</v>
      </c>
      <c r="N39" s="581">
        <f t="shared" si="36"/>
        <v>212006.68505280005</v>
      </c>
      <c r="O39" s="581">
        <f t="shared" si="36"/>
        <v>424013.3701056001</v>
      </c>
      <c r="P39" s="581">
        <f t="shared" si="36"/>
        <v>424013.3701056001</v>
      </c>
      <c r="Q39" s="581">
        <f t="shared" si="36"/>
        <v>424013.3701056001</v>
      </c>
      <c r="R39" s="581">
        <f t="shared" si="36"/>
        <v>424013.3701056001</v>
      </c>
      <c r="S39" s="581">
        <f t="shared" si="36"/>
        <v>636020.05515840021</v>
      </c>
      <c r="T39" s="581">
        <f t="shared" si="36"/>
        <v>636020.05515840021</v>
      </c>
      <c r="U39" s="581">
        <f t="shared" si="36"/>
        <v>636020.05515840021</v>
      </c>
      <c r="V39" s="581">
        <f t="shared" si="36"/>
        <v>636020.05515840021</v>
      </c>
      <c r="W39" s="581">
        <f t="shared" si="36"/>
        <v>848026.7402112002</v>
      </c>
      <c r="X39" s="581">
        <f t="shared" si="36"/>
        <v>848026.7402112002</v>
      </c>
      <c r="Y39" s="581">
        <f t="shared" si="36"/>
        <v>848026.7402112002</v>
      </c>
      <c r="Z39" s="581">
        <f t="shared" si="36"/>
        <v>848026.7402112002</v>
      </c>
      <c r="AA39" s="581">
        <f t="shared" si="36"/>
        <v>1060033.4252640004</v>
      </c>
      <c r="AB39" s="581">
        <f t="shared" si="36"/>
        <v>1060033.4252640004</v>
      </c>
      <c r="AC39" s="581">
        <f t="shared" si="36"/>
        <v>1060033.4252640004</v>
      </c>
      <c r="AD39" s="581">
        <f t="shared" si="36"/>
        <v>1060033.4252640004</v>
      </c>
      <c r="AE39" s="581">
        <f t="shared" si="36"/>
        <v>1272040.1103168004</v>
      </c>
      <c r="AF39" s="581">
        <f t="shared" si="33"/>
        <v>3180100.2757920008</v>
      </c>
      <c r="AG39" s="543"/>
      <c r="AH39" s="572">
        <f>SUM($G39:I39)</f>
        <v>0</v>
      </c>
      <c r="AI39" s="572">
        <f>SUM($G39:K39)</f>
        <v>212006.68505280005</v>
      </c>
      <c r="AJ39" s="572">
        <f>SUM($G39:P39)</f>
        <v>1696053.4804224004</v>
      </c>
      <c r="AK39" s="572">
        <f>SUM($G39:S39)</f>
        <v>3180100.2757920008</v>
      </c>
      <c r="AL39" s="543"/>
      <c r="AM39" s="543"/>
      <c r="AN39" s="543"/>
      <c r="AO39" s="543"/>
      <c r="AP39" s="543"/>
      <c r="AQ39" s="543"/>
      <c r="AR39" s="543"/>
      <c r="AS39" s="543"/>
      <c r="AT39" s="543"/>
    </row>
    <row r="40" spans="1:46" x14ac:dyDescent="0.3">
      <c r="A40" s="593" t="s">
        <v>412</v>
      </c>
      <c r="B40" s="594">
        <f>B17</f>
        <v>0.1157</v>
      </c>
      <c r="C40" s="594"/>
      <c r="D40" s="558" t="s">
        <v>399</v>
      </c>
      <c r="E40" s="580">
        <f t="shared" ref="E40:F40" si="37">E38*$B$40/$B$38</f>
        <v>0</v>
      </c>
      <c r="F40" s="580">
        <f t="shared" si="37"/>
        <v>0</v>
      </c>
      <c r="G40" s="580">
        <f>G38*$B$40/$B$38</f>
        <v>0</v>
      </c>
      <c r="H40" s="581">
        <f t="shared" ref="H40:AE40" si="38">H38*$B$40/$B$38</f>
        <v>0</v>
      </c>
      <c r="I40" s="581">
        <f t="shared" si="38"/>
        <v>0</v>
      </c>
      <c r="J40" s="581">
        <f t="shared" si="38"/>
        <v>0</v>
      </c>
      <c r="K40" s="581">
        <f t="shared" si="38"/>
        <v>290974.77414720005</v>
      </c>
      <c r="L40" s="581">
        <f t="shared" si="38"/>
        <v>290974.77414720005</v>
      </c>
      <c r="M40" s="581">
        <f t="shared" si="38"/>
        <v>290974.77414720005</v>
      </c>
      <c r="N40" s="581">
        <f t="shared" si="38"/>
        <v>290974.77414720005</v>
      </c>
      <c r="O40" s="581">
        <f t="shared" si="38"/>
        <v>581949.5482944001</v>
      </c>
      <c r="P40" s="581">
        <f t="shared" si="38"/>
        <v>581949.5482944001</v>
      </c>
      <c r="Q40" s="581">
        <f t="shared" si="38"/>
        <v>581949.5482944001</v>
      </c>
      <c r="R40" s="581">
        <f t="shared" si="38"/>
        <v>581949.5482944001</v>
      </c>
      <c r="S40" s="581">
        <f t="shared" si="38"/>
        <v>872924.32244160003</v>
      </c>
      <c r="T40" s="581">
        <f t="shared" si="38"/>
        <v>872924.32244160003</v>
      </c>
      <c r="U40" s="581">
        <f t="shared" si="38"/>
        <v>872924.32244160003</v>
      </c>
      <c r="V40" s="581">
        <f t="shared" si="38"/>
        <v>872924.32244160003</v>
      </c>
      <c r="W40" s="581">
        <f t="shared" si="38"/>
        <v>1163899.0965888002</v>
      </c>
      <c r="X40" s="581">
        <f t="shared" si="38"/>
        <v>1163899.0965888002</v>
      </c>
      <c r="Y40" s="581">
        <f t="shared" si="38"/>
        <v>1163899.0965888002</v>
      </c>
      <c r="Z40" s="581">
        <f t="shared" si="38"/>
        <v>1163899.0965888002</v>
      </c>
      <c r="AA40" s="581">
        <f t="shared" si="38"/>
        <v>1454873.8707360001</v>
      </c>
      <c r="AB40" s="581">
        <f t="shared" si="38"/>
        <v>1454873.8707360001</v>
      </c>
      <c r="AC40" s="581">
        <f t="shared" si="38"/>
        <v>1454873.8707360001</v>
      </c>
      <c r="AD40" s="581">
        <f t="shared" si="38"/>
        <v>1454873.8707360001</v>
      </c>
      <c r="AE40" s="581">
        <f t="shared" si="38"/>
        <v>1745848.6448832001</v>
      </c>
      <c r="AF40" s="581">
        <f t="shared" si="33"/>
        <v>4364621.6122080004</v>
      </c>
      <c r="AG40" s="543"/>
      <c r="AH40" s="572">
        <f>SUM($G40:I40)</f>
        <v>0</v>
      </c>
      <c r="AI40" s="572">
        <f>SUM($G40:K40)</f>
        <v>290974.77414720005</v>
      </c>
      <c r="AJ40" s="572">
        <f>SUM($G40:P40)</f>
        <v>2327798.1931776004</v>
      </c>
      <c r="AK40" s="572">
        <f>SUM($G40:S40)</f>
        <v>4364621.6122080004</v>
      </c>
      <c r="AL40" s="543"/>
      <c r="AM40" s="543"/>
      <c r="AN40" s="543"/>
      <c r="AO40" s="543"/>
      <c r="AP40" s="543"/>
      <c r="AQ40" s="543"/>
      <c r="AR40" s="543"/>
      <c r="AS40" s="543"/>
      <c r="AT40" s="543"/>
    </row>
    <row r="41" spans="1:46" x14ac:dyDescent="0.3">
      <c r="A41" s="593" t="s">
        <v>413</v>
      </c>
      <c r="B41" s="595">
        <v>0.2</v>
      </c>
      <c r="C41" s="594"/>
      <c r="D41" s="558" t="s">
        <v>399</v>
      </c>
      <c r="E41" s="580">
        <f t="shared" ref="E41:J41" si="39">(E32-E33)*$B$41</f>
        <v>0</v>
      </c>
      <c r="F41" s="580">
        <f t="shared" si="39"/>
        <v>0</v>
      </c>
      <c r="G41" s="580">
        <f t="shared" si="39"/>
        <v>0</v>
      </c>
      <c r="H41" s="581">
        <f t="shared" si="39"/>
        <v>0</v>
      </c>
      <c r="I41" s="581">
        <f t="shared" si="39"/>
        <v>0</v>
      </c>
      <c r="J41" s="581">
        <f t="shared" si="39"/>
        <v>0</v>
      </c>
      <c r="K41" s="581">
        <f>(K32-K33)*$B$41</f>
        <v>1933921.6</v>
      </c>
      <c r="L41" s="581">
        <f t="shared" ref="L41:AE41" si="40">(L32-L33)*$B$41</f>
        <v>1933921.6</v>
      </c>
      <c r="M41" s="581">
        <f t="shared" si="40"/>
        <v>1933921.6</v>
      </c>
      <c r="N41" s="581">
        <f t="shared" si="40"/>
        <v>1933921.6</v>
      </c>
      <c r="O41" s="581">
        <f t="shared" si="40"/>
        <v>3867843.2</v>
      </c>
      <c r="P41" s="581">
        <f t="shared" si="40"/>
        <v>3867843.2</v>
      </c>
      <c r="Q41" s="581">
        <f t="shared" si="40"/>
        <v>3867843.2</v>
      </c>
      <c r="R41" s="581">
        <f t="shared" si="40"/>
        <v>3867843.2</v>
      </c>
      <c r="S41" s="581">
        <f t="shared" si="40"/>
        <v>5801764.8000000007</v>
      </c>
      <c r="T41" s="581">
        <f t="shared" si="40"/>
        <v>5801764.8000000007</v>
      </c>
      <c r="U41" s="581">
        <f t="shared" si="40"/>
        <v>5801764.8000000007</v>
      </c>
      <c r="V41" s="581">
        <f t="shared" si="40"/>
        <v>5801764.8000000007</v>
      </c>
      <c r="W41" s="581">
        <f t="shared" si="40"/>
        <v>7735686.4000000004</v>
      </c>
      <c r="X41" s="581">
        <f t="shared" si="40"/>
        <v>7735686.4000000004</v>
      </c>
      <c r="Y41" s="581">
        <f t="shared" si="40"/>
        <v>7735686.4000000004</v>
      </c>
      <c r="Z41" s="581">
        <f t="shared" si="40"/>
        <v>7735686.4000000004</v>
      </c>
      <c r="AA41" s="581">
        <f t="shared" si="40"/>
        <v>9669608</v>
      </c>
      <c r="AB41" s="581">
        <f t="shared" si="40"/>
        <v>9669608</v>
      </c>
      <c r="AC41" s="581">
        <f t="shared" si="40"/>
        <v>9669608</v>
      </c>
      <c r="AD41" s="581">
        <f t="shared" si="40"/>
        <v>9669608</v>
      </c>
      <c r="AE41" s="581">
        <f t="shared" si="40"/>
        <v>11603529.600000001</v>
      </c>
      <c r="AF41" s="581">
        <f t="shared" si="33"/>
        <v>29008824</v>
      </c>
      <c r="AG41" s="543"/>
      <c r="AH41" s="572">
        <f>SUM($G41:I41)</f>
        <v>0</v>
      </c>
      <c r="AI41" s="572">
        <f>SUM($G41:K41)</f>
        <v>1933921.6</v>
      </c>
      <c r="AJ41" s="572">
        <f>SUM($G41:P41)</f>
        <v>15471372.800000001</v>
      </c>
      <c r="AK41" s="572">
        <f>SUM($G41:S41)</f>
        <v>29008824</v>
      </c>
      <c r="AL41" s="543"/>
      <c r="AM41" s="543"/>
      <c r="AN41" s="543"/>
      <c r="AO41" s="543"/>
      <c r="AP41" s="543"/>
      <c r="AQ41" s="543"/>
      <c r="AR41" s="543"/>
      <c r="AS41" s="543"/>
      <c r="AT41" s="543"/>
    </row>
    <row r="42" spans="1:46" x14ac:dyDescent="0.3">
      <c r="A42" s="596" t="s">
        <v>436</v>
      </c>
      <c r="B42" s="596"/>
      <c r="C42" s="596"/>
      <c r="D42" s="597" t="s">
        <v>437</v>
      </c>
      <c r="E42" s="598">
        <f>SUM(E43:E46)</f>
        <v>0</v>
      </c>
      <c r="F42" s="598">
        <f t="shared" ref="F42:AE42" si="41">SUM(F43:F46)</f>
        <v>0</v>
      </c>
      <c r="G42" s="598">
        <f t="shared" si="41"/>
        <v>1724535.0049760002</v>
      </c>
      <c r="H42" s="599">
        <f t="shared" si="41"/>
        <v>1724535.0049760002</v>
      </c>
      <c r="I42" s="599">
        <f t="shared" si="41"/>
        <v>1724535.0049760002</v>
      </c>
      <c r="J42" s="599">
        <f t="shared" si="41"/>
        <v>1724535.0049760002</v>
      </c>
      <c r="K42" s="599">
        <f t="shared" si="41"/>
        <v>5816038.4159232005</v>
      </c>
      <c r="L42" s="599">
        <f t="shared" si="41"/>
        <v>5816038.4159232005</v>
      </c>
      <c r="M42" s="599">
        <f t="shared" si="41"/>
        <v>5816038.4159232005</v>
      </c>
      <c r="N42" s="599">
        <f t="shared" si="41"/>
        <v>5816038.4159232005</v>
      </c>
      <c r="O42" s="599">
        <f t="shared" si="41"/>
        <v>9907541.8268704005</v>
      </c>
      <c r="P42" s="599">
        <f t="shared" si="41"/>
        <v>9907541.8268704005</v>
      </c>
      <c r="Q42" s="599">
        <f t="shared" si="41"/>
        <v>9907541.8268704005</v>
      </c>
      <c r="R42" s="599">
        <f t="shared" si="41"/>
        <v>9907541.8268704005</v>
      </c>
      <c r="S42" s="599">
        <f t="shared" si="41"/>
        <v>13999045.2378176</v>
      </c>
      <c r="T42" s="599">
        <f t="shared" si="41"/>
        <v>9908168.505017601</v>
      </c>
      <c r="U42" s="599">
        <f t="shared" si="41"/>
        <v>9908168.505017601</v>
      </c>
      <c r="V42" s="599">
        <f t="shared" si="41"/>
        <v>9908168.505017601</v>
      </c>
      <c r="W42" s="599">
        <f t="shared" si="41"/>
        <v>12636046.338364802</v>
      </c>
      <c r="X42" s="599">
        <f t="shared" si="41"/>
        <v>12636046.338364802</v>
      </c>
      <c r="Y42" s="599">
        <f t="shared" si="41"/>
        <v>12636046.338364802</v>
      </c>
      <c r="Z42" s="599">
        <f t="shared" si="41"/>
        <v>12636046.338364802</v>
      </c>
      <c r="AA42" s="599">
        <f t="shared" si="41"/>
        <v>15363924.171712</v>
      </c>
      <c r="AB42" s="599">
        <f t="shared" si="41"/>
        <v>15363924.171712</v>
      </c>
      <c r="AC42" s="599">
        <f t="shared" si="41"/>
        <v>15363924.171712</v>
      </c>
      <c r="AD42" s="599">
        <f t="shared" si="41"/>
        <v>15363924.171712</v>
      </c>
      <c r="AE42" s="599">
        <f t="shared" si="41"/>
        <v>18091802.005059201</v>
      </c>
      <c r="AF42" s="599">
        <f t="shared" si="33"/>
        <v>83791506.228895992</v>
      </c>
      <c r="AG42" s="543"/>
      <c r="AH42" s="572">
        <f>SUM($G42:I42)</f>
        <v>5173605.014928</v>
      </c>
      <c r="AI42" s="572">
        <f>SUM($G42:K42)</f>
        <v>12714178.435827201</v>
      </c>
      <c r="AJ42" s="572">
        <f>SUM($G42:P42)</f>
        <v>49977377.337337598</v>
      </c>
      <c r="AK42" s="572">
        <f>SUM($G42:S42)</f>
        <v>83791506.228895992</v>
      </c>
      <c r="AL42" s="543"/>
      <c r="AM42" s="543"/>
      <c r="AN42" s="543"/>
      <c r="AO42" s="543"/>
      <c r="AP42" s="543"/>
      <c r="AQ42" s="543"/>
      <c r="AR42" s="543"/>
      <c r="AS42" s="543"/>
      <c r="AT42" s="543"/>
    </row>
    <row r="43" spans="1:46" x14ac:dyDescent="0.3">
      <c r="A43" s="600" t="s">
        <v>438</v>
      </c>
      <c r="B43" s="600"/>
      <c r="C43" s="600"/>
      <c r="D43" s="597" t="s">
        <v>437</v>
      </c>
      <c r="E43" s="598">
        <f t="shared" ref="E43:AE44" si="42">E14+E37</f>
        <v>0</v>
      </c>
      <c r="F43" s="598">
        <f t="shared" si="42"/>
        <v>0</v>
      </c>
      <c r="G43" s="598">
        <f t="shared" si="42"/>
        <v>619829.80800000008</v>
      </c>
      <c r="H43" s="599">
        <f t="shared" si="42"/>
        <v>619829.80800000008</v>
      </c>
      <c r="I43" s="599">
        <f t="shared" si="42"/>
        <v>619829.80800000008</v>
      </c>
      <c r="J43" s="599">
        <f t="shared" si="42"/>
        <v>619829.80800000008</v>
      </c>
      <c r="K43" s="599">
        <f t="shared" si="42"/>
        <v>1983455.3856000002</v>
      </c>
      <c r="L43" s="599">
        <f t="shared" si="42"/>
        <v>1983455.3856000002</v>
      </c>
      <c r="M43" s="599">
        <f t="shared" si="42"/>
        <v>1983455.3856000002</v>
      </c>
      <c r="N43" s="599">
        <f t="shared" si="42"/>
        <v>1983455.3856000002</v>
      </c>
      <c r="O43" s="599">
        <f t="shared" si="42"/>
        <v>3347080.9632000006</v>
      </c>
      <c r="P43" s="599">
        <f t="shared" si="42"/>
        <v>3347080.9632000006</v>
      </c>
      <c r="Q43" s="599">
        <f t="shared" si="42"/>
        <v>3347080.9632000006</v>
      </c>
      <c r="R43" s="599">
        <f t="shared" si="42"/>
        <v>3347080.9632000006</v>
      </c>
      <c r="S43" s="599">
        <f t="shared" si="42"/>
        <v>4710706.5408000005</v>
      </c>
      <c r="T43" s="599">
        <f t="shared" si="42"/>
        <v>619829.80800000008</v>
      </c>
      <c r="U43" s="599">
        <f t="shared" si="42"/>
        <v>619829.80800000008</v>
      </c>
      <c r="V43" s="599">
        <f t="shared" si="42"/>
        <v>619829.80800000008</v>
      </c>
      <c r="W43" s="599">
        <f t="shared" si="42"/>
        <v>619829.80800000008</v>
      </c>
      <c r="X43" s="599">
        <f t="shared" si="42"/>
        <v>619829.80800000008</v>
      </c>
      <c r="Y43" s="599">
        <f t="shared" si="42"/>
        <v>619829.80800000008</v>
      </c>
      <c r="Z43" s="599">
        <f t="shared" si="42"/>
        <v>619829.80800000008</v>
      </c>
      <c r="AA43" s="599">
        <f t="shared" si="42"/>
        <v>619829.80800000008</v>
      </c>
      <c r="AB43" s="599">
        <f t="shared" si="42"/>
        <v>619829.80800000008</v>
      </c>
      <c r="AC43" s="599">
        <f t="shared" si="42"/>
        <v>619829.80800000008</v>
      </c>
      <c r="AD43" s="599">
        <f t="shared" si="42"/>
        <v>619829.80800000008</v>
      </c>
      <c r="AE43" s="599">
        <f t="shared" si="42"/>
        <v>619829.80800000008</v>
      </c>
      <c r="AF43" s="599">
        <f t="shared" si="33"/>
        <v>28512171.168000001</v>
      </c>
      <c r="AG43" s="543"/>
      <c r="AH43" s="572">
        <f>SUM($G43:I43)</f>
        <v>1859489.4240000001</v>
      </c>
      <c r="AI43" s="572">
        <f>SUM($G43:K43)</f>
        <v>4462774.6176000005</v>
      </c>
      <c r="AJ43" s="571">
        <f>SUM($G43:P43)</f>
        <v>17107302.700800002</v>
      </c>
      <c r="AK43" s="572">
        <f>SUM($G43:S43)</f>
        <v>28512171.168000001</v>
      </c>
      <c r="AL43" s="543"/>
      <c r="AM43" s="543"/>
      <c r="AN43" s="543"/>
      <c r="AO43" s="543"/>
      <c r="AP43" s="543"/>
      <c r="AQ43" s="543"/>
      <c r="AR43" s="543"/>
      <c r="AS43" s="543"/>
      <c r="AT43" s="543"/>
    </row>
    <row r="44" spans="1:46" x14ac:dyDescent="0.3">
      <c r="A44" s="600" t="s">
        <v>439</v>
      </c>
      <c r="B44" s="600"/>
      <c r="C44" s="600"/>
      <c r="D44" s="597" t="s">
        <v>437</v>
      </c>
      <c r="E44" s="598">
        <f t="shared" si="42"/>
        <v>0</v>
      </c>
      <c r="F44" s="598">
        <f t="shared" si="42"/>
        <v>0</v>
      </c>
      <c r="G44" s="598">
        <f t="shared" si="42"/>
        <v>228627.93600000005</v>
      </c>
      <c r="H44" s="599">
        <f t="shared" si="42"/>
        <v>228627.93600000005</v>
      </c>
      <c r="I44" s="599">
        <f t="shared" si="42"/>
        <v>228627.93600000005</v>
      </c>
      <c r="J44" s="599">
        <f t="shared" si="42"/>
        <v>228627.93600000005</v>
      </c>
      <c r="K44" s="599">
        <f t="shared" si="42"/>
        <v>731609.39520000014</v>
      </c>
      <c r="L44" s="599">
        <f t="shared" si="42"/>
        <v>731609.39520000014</v>
      </c>
      <c r="M44" s="599">
        <f t="shared" si="42"/>
        <v>731609.39520000014</v>
      </c>
      <c r="N44" s="599">
        <f t="shared" si="42"/>
        <v>731609.39520000014</v>
      </c>
      <c r="O44" s="599">
        <f t="shared" si="42"/>
        <v>1234590.8544000003</v>
      </c>
      <c r="P44" s="599">
        <f t="shared" si="42"/>
        <v>1234590.8544000003</v>
      </c>
      <c r="Q44" s="599">
        <f t="shared" si="42"/>
        <v>1234590.8544000003</v>
      </c>
      <c r="R44" s="599">
        <f t="shared" si="42"/>
        <v>1234590.8544000003</v>
      </c>
      <c r="S44" s="599">
        <f t="shared" si="42"/>
        <v>1737572.3136000002</v>
      </c>
      <c r="T44" s="599">
        <f t="shared" si="42"/>
        <v>1737572.3136000002</v>
      </c>
      <c r="U44" s="599">
        <f t="shared" si="42"/>
        <v>1737572.3136000002</v>
      </c>
      <c r="V44" s="599">
        <f t="shared" si="42"/>
        <v>1737572.3136000002</v>
      </c>
      <c r="W44" s="599">
        <f t="shared" si="42"/>
        <v>2240553.7728000004</v>
      </c>
      <c r="X44" s="599">
        <f t="shared" si="42"/>
        <v>2240553.7728000004</v>
      </c>
      <c r="Y44" s="599">
        <f t="shared" si="42"/>
        <v>2240553.7728000004</v>
      </c>
      <c r="Z44" s="599">
        <f t="shared" si="42"/>
        <v>2240553.7728000004</v>
      </c>
      <c r="AA44" s="599">
        <f t="shared" si="42"/>
        <v>2743535.2320000008</v>
      </c>
      <c r="AB44" s="599">
        <f t="shared" si="42"/>
        <v>2743535.2320000008</v>
      </c>
      <c r="AC44" s="599">
        <f t="shared" si="42"/>
        <v>2743535.2320000008</v>
      </c>
      <c r="AD44" s="599">
        <f t="shared" si="42"/>
        <v>2743535.2320000008</v>
      </c>
      <c r="AE44" s="599">
        <f t="shared" si="42"/>
        <v>3246516.6912000007</v>
      </c>
      <c r="AF44" s="599">
        <f t="shared" si="33"/>
        <v>10516885.056000002</v>
      </c>
      <c r="AG44" s="543"/>
      <c r="AH44" s="572">
        <f>SUM($G44:I44)</f>
        <v>685883.80800000019</v>
      </c>
      <c r="AI44" s="572">
        <f>SUM($G44:K44)</f>
        <v>1646121.1392000003</v>
      </c>
      <c r="AJ44" s="571">
        <f>SUM($G44:P44)</f>
        <v>6310131.0336000016</v>
      </c>
      <c r="AK44" s="572">
        <f>SUM($G44:S44)</f>
        <v>10516885.056000002</v>
      </c>
      <c r="AL44" s="543"/>
      <c r="AM44" s="543"/>
      <c r="AN44" s="543"/>
      <c r="AO44" s="543"/>
      <c r="AP44" s="543"/>
      <c r="AQ44" s="543"/>
      <c r="AR44" s="543"/>
      <c r="AS44" s="543"/>
      <c r="AT44" s="543"/>
    </row>
    <row r="45" spans="1:46" x14ac:dyDescent="0.3">
      <c r="A45" s="601" t="s">
        <v>412</v>
      </c>
      <c r="B45" s="600"/>
      <c r="C45" s="600"/>
      <c r="D45" s="597" t="s">
        <v>437</v>
      </c>
      <c r="E45" s="598"/>
      <c r="F45" s="598"/>
      <c r="G45" s="598">
        <f>G40+G17</f>
        <v>132261.26097600002</v>
      </c>
      <c r="H45" s="599">
        <f t="shared" ref="H45:AE45" si="43">H40+H17</f>
        <v>132261.26097600002</v>
      </c>
      <c r="I45" s="599">
        <f t="shared" si="43"/>
        <v>132261.26097600002</v>
      </c>
      <c r="J45" s="599">
        <f t="shared" si="43"/>
        <v>132261.26097600002</v>
      </c>
      <c r="K45" s="599">
        <f t="shared" si="43"/>
        <v>423236.03512320004</v>
      </c>
      <c r="L45" s="599">
        <f t="shared" si="43"/>
        <v>423236.03512320004</v>
      </c>
      <c r="M45" s="599">
        <f t="shared" si="43"/>
        <v>423236.03512320004</v>
      </c>
      <c r="N45" s="599">
        <f t="shared" si="43"/>
        <v>423236.03512320004</v>
      </c>
      <c r="O45" s="599">
        <f t="shared" si="43"/>
        <v>714210.80927040009</v>
      </c>
      <c r="P45" s="599">
        <f t="shared" si="43"/>
        <v>714210.80927040009</v>
      </c>
      <c r="Q45" s="599">
        <f t="shared" si="43"/>
        <v>714210.80927040009</v>
      </c>
      <c r="R45" s="599">
        <f t="shared" si="43"/>
        <v>714210.80927040009</v>
      </c>
      <c r="S45" s="599">
        <f t="shared" si="43"/>
        <v>1005185.5834176</v>
      </c>
      <c r="T45" s="599">
        <f t="shared" si="43"/>
        <v>1005185.5834176</v>
      </c>
      <c r="U45" s="599">
        <f t="shared" si="43"/>
        <v>1005185.5834176</v>
      </c>
      <c r="V45" s="599">
        <f t="shared" si="43"/>
        <v>1005185.5834176</v>
      </c>
      <c r="W45" s="599">
        <f t="shared" si="43"/>
        <v>1296160.3575648002</v>
      </c>
      <c r="X45" s="599">
        <f t="shared" si="43"/>
        <v>1296160.3575648002</v>
      </c>
      <c r="Y45" s="599">
        <f t="shared" si="43"/>
        <v>1296160.3575648002</v>
      </c>
      <c r="Z45" s="599">
        <f t="shared" si="43"/>
        <v>1296160.3575648002</v>
      </c>
      <c r="AA45" s="599">
        <f t="shared" si="43"/>
        <v>1587135.1317120001</v>
      </c>
      <c r="AB45" s="599">
        <f t="shared" si="43"/>
        <v>1587135.1317120001</v>
      </c>
      <c r="AC45" s="599">
        <f t="shared" si="43"/>
        <v>1587135.1317120001</v>
      </c>
      <c r="AD45" s="599">
        <f t="shared" si="43"/>
        <v>1587135.1317120001</v>
      </c>
      <c r="AE45" s="599">
        <f t="shared" si="43"/>
        <v>1878109.9058592001</v>
      </c>
      <c r="AF45" s="599">
        <f t="shared" si="33"/>
        <v>6084018.0048960019</v>
      </c>
      <c r="AG45" s="543"/>
      <c r="AH45" s="572">
        <f>SUM($G45:I45)</f>
        <v>396783.78292800009</v>
      </c>
      <c r="AI45" s="572">
        <f>SUM($G45:K45)</f>
        <v>952281.07902720012</v>
      </c>
      <c r="AJ45" s="571">
        <f>SUM($G45:P45)</f>
        <v>3650410.8029376008</v>
      </c>
      <c r="AK45" s="572">
        <f>SUM($G45:S45)</f>
        <v>6084018.0048960019</v>
      </c>
      <c r="AL45" s="543"/>
      <c r="AM45" s="543"/>
      <c r="AN45" s="543"/>
      <c r="AO45" s="543"/>
      <c r="AP45" s="543"/>
      <c r="AQ45" s="543"/>
      <c r="AR45" s="543"/>
      <c r="AS45" s="543"/>
      <c r="AT45" s="543"/>
    </row>
    <row r="46" spans="1:46" x14ac:dyDescent="0.3">
      <c r="A46" s="600" t="s">
        <v>440</v>
      </c>
      <c r="B46" s="600"/>
      <c r="C46" s="600"/>
      <c r="D46" s="597" t="s">
        <v>437</v>
      </c>
      <c r="E46" s="598">
        <f t="shared" ref="E46:AE46" si="44">E18+E41</f>
        <v>0</v>
      </c>
      <c r="F46" s="598">
        <f t="shared" si="44"/>
        <v>0</v>
      </c>
      <c r="G46" s="598">
        <f t="shared" si="44"/>
        <v>743816</v>
      </c>
      <c r="H46" s="599">
        <f t="shared" si="44"/>
        <v>743816</v>
      </c>
      <c r="I46" s="599">
        <f t="shared" si="44"/>
        <v>743816</v>
      </c>
      <c r="J46" s="599">
        <f t="shared" si="44"/>
        <v>743816</v>
      </c>
      <c r="K46" s="599">
        <f t="shared" si="44"/>
        <v>2677737.6</v>
      </c>
      <c r="L46" s="599">
        <f t="shared" si="44"/>
        <v>2677737.6</v>
      </c>
      <c r="M46" s="599">
        <f t="shared" si="44"/>
        <v>2677737.6</v>
      </c>
      <c r="N46" s="599">
        <f t="shared" si="44"/>
        <v>2677737.6</v>
      </c>
      <c r="O46" s="599">
        <f t="shared" si="44"/>
        <v>4611659.2</v>
      </c>
      <c r="P46" s="599">
        <f t="shared" si="44"/>
        <v>4611659.2</v>
      </c>
      <c r="Q46" s="599">
        <f t="shared" si="44"/>
        <v>4611659.2</v>
      </c>
      <c r="R46" s="599">
        <f t="shared" si="44"/>
        <v>4611659.2</v>
      </c>
      <c r="S46" s="599">
        <f t="shared" si="44"/>
        <v>6545580.8000000007</v>
      </c>
      <c r="T46" s="599">
        <f t="shared" si="44"/>
        <v>6545580.8000000007</v>
      </c>
      <c r="U46" s="599">
        <f t="shared" si="44"/>
        <v>6545580.8000000007</v>
      </c>
      <c r="V46" s="599">
        <f t="shared" si="44"/>
        <v>6545580.8000000007</v>
      </c>
      <c r="W46" s="599">
        <f t="shared" si="44"/>
        <v>8479502.4000000004</v>
      </c>
      <c r="X46" s="599">
        <f t="shared" si="44"/>
        <v>8479502.4000000004</v>
      </c>
      <c r="Y46" s="599">
        <f t="shared" si="44"/>
        <v>8479502.4000000004</v>
      </c>
      <c r="Z46" s="599">
        <f t="shared" si="44"/>
        <v>8479502.4000000004</v>
      </c>
      <c r="AA46" s="599">
        <f t="shared" si="44"/>
        <v>10413424</v>
      </c>
      <c r="AB46" s="599">
        <f t="shared" si="44"/>
        <v>10413424</v>
      </c>
      <c r="AC46" s="599">
        <f t="shared" si="44"/>
        <v>10413424</v>
      </c>
      <c r="AD46" s="599">
        <f t="shared" si="44"/>
        <v>10413424</v>
      </c>
      <c r="AE46" s="599">
        <f t="shared" si="44"/>
        <v>12347345.600000001</v>
      </c>
      <c r="AF46" s="599">
        <f t="shared" si="33"/>
        <v>38678432</v>
      </c>
      <c r="AG46" s="543"/>
      <c r="AH46" s="572">
        <f>SUM($G46:I46)</f>
        <v>2231448</v>
      </c>
      <c r="AI46" s="572">
        <f>SUM($G46:K46)</f>
        <v>5653001.5999999996</v>
      </c>
      <c r="AJ46" s="571">
        <f>SUM($G46:P46)</f>
        <v>22909532.799999997</v>
      </c>
      <c r="AK46" s="572">
        <f>SUM($G46:S46)</f>
        <v>38678432</v>
      </c>
      <c r="AL46" s="543"/>
      <c r="AM46" s="543"/>
      <c r="AN46" s="543"/>
      <c r="AO46" s="543"/>
      <c r="AP46" s="543"/>
      <c r="AQ46" s="543"/>
      <c r="AR46" s="543"/>
      <c r="AS46" s="543"/>
      <c r="AT46" s="543"/>
    </row>
    <row r="47" spans="1:46" x14ac:dyDescent="0.3">
      <c r="A47" s="585"/>
      <c r="B47" s="585"/>
      <c r="C47" s="585"/>
      <c r="D47" s="558"/>
      <c r="E47" s="559"/>
      <c r="F47" s="568"/>
      <c r="G47" s="568"/>
      <c r="H47" s="576"/>
      <c r="I47" s="576"/>
      <c r="J47" s="576"/>
      <c r="K47" s="576"/>
      <c r="L47" s="576"/>
      <c r="M47" s="576"/>
      <c r="N47" s="576"/>
      <c r="O47" s="576"/>
      <c r="P47" s="576"/>
      <c r="Q47" s="576"/>
      <c r="R47" s="576"/>
      <c r="S47" s="576"/>
      <c r="T47" s="576"/>
      <c r="U47" s="576"/>
      <c r="V47" s="576"/>
      <c r="W47" s="576"/>
      <c r="X47" s="576"/>
      <c r="Y47" s="576"/>
      <c r="Z47" s="576"/>
      <c r="AA47" s="576"/>
      <c r="AB47" s="576"/>
      <c r="AC47" s="576"/>
      <c r="AD47" s="576"/>
      <c r="AE47" s="576"/>
      <c r="AF47" s="576"/>
      <c r="AG47" s="543"/>
      <c r="AH47" s="548"/>
      <c r="AI47" s="548"/>
      <c r="AJ47" s="548"/>
      <c r="AK47" s="548"/>
      <c r="AL47" s="543"/>
      <c r="AM47" s="543"/>
      <c r="AN47" s="543"/>
      <c r="AO47" s="543"/>
      <c r="AP47" s="543"/>
      <c r="AQ47" s="543"/>
      <c r="AR47" s="543"/>
      <c r="AS47" s="543"/>
      <c r="AT47" s="543"/>
    </row>
    <row r="48" spans="1:46" x14ac:dyDescent="0.3">
      <c r="A48" s="602" t="s">
        <v>441</v>
      </c>
      <c r="B48" s="602"/>
      <c r="C48" s="602"/>
      <c r="D48" s="597"/>
      <c r="E48" s="603">
        <f t="shared" ref="E48:AE48" si="45">E12+E35</f>
        <v>0</v>
      </c>
      <c r="F48" s="603">
        <f t="shared" si="45"/>
        <v>0</v>
      </c>
      <c r="G48" s="603">
        <f>G12+G35</f>
        <v>109</v>
      </c>
      <c r="H48" s="604">
        <f t="shared" si="45"/>
        <v>109</v>
      </c>
      <c r="I48" s="604">
        <f t="shared" si="45"/>
        <v>109</v>
      </c>
      <c r="J48" s="604">
        <f t="shared" si="45"/>
        <v>109</v>
      </c>
      <c r="K48" s="604">
        <f t="shared" si="45"/>
        <v>348.8</v>
      </c>
      <c r="L48" s="604">
        <f t="shared" si="45"/>
        <v>348.8</v>
      </c>
      <c r="M48" s="604">
        <f t="shared" si="45"/>
        <v>348.8</v>
      </c>
      <c r="N48" s="604">
        <f t="shared" si="45"/>
        <v>348.8</v>
      </c>
      <c r="O48" s="604">
        <f t="shared" si="45"/>
        <v>588.6</v>
      </c>
      <c r="P48" s="604">
        <f t="shared" si="45"/>
        <v>588.6</v>
      </c>
      <c r="Q48" s="604">
        <f t="shared" si="45"/>
        <v>588.6</v>
      </c>
      <c r="R48" s="604">
        <f t="shared" si="45"/>
        <v>588.6</v>
      </c>
      <c r="S48" s="604">
        <f t="shared" si="45"/>
        <v>828.4</v>
      </c>
      <c r="T48" s="604">
        <f t="shared" si="45"/>
        <v>828.4</v>
      </c>
      <c r="U48" s="604">
        <f t="shared" si="45"/>
        <v>828.4</v>
      </c>
      <c r="V48" s="604">
        <f t="shared" si="45"/>
        <v>828.4</v>
      </c>
      <c r="W48" s="604">
        <f t="shared" si="45"/>
        <v>1068.2</v>
      </c>
      <c r="X48" s="604">
        <f t="shared" si="45"/>
        <v>1068.2</v>
      </c>
      <c r="Y48" s="604">
        <f t="shared" si="45"/>
        <v>1068.2</v>
      </c>
      <c r="Z48" s="604">
        <f t="shared" si="45"/>
        <v>1068.2</v>
      </c>
      <c r="AA48" s="604">
        <f t="shared" si="45"/>
        <v>1308</v>
      </c>
      <c r="AB48" s="604">
        <f t="shared" si="45"/>
        <v>1308</v>
      </c>
      <c r="AC48" s="604">
        <f t="shared" si="45"/>
        <v>1308</v>
      </c>
      <c r="AD48" s="604">
        <f t="shared" si="45"/>
        <v>1308</v>
      </c>
      <c r="AE48" s="604">
        <f t="shared" si="45"/>
        <v>1547.8</v>
      </c>
      <c r="AF48" s="604">
        <f>S48</f>
        <v>828.4</v>
      </c>
      <c r="AG48" s="543"/>
      <c r="AH48" s="564">
        <f>I48</f>
        <v>109</v>
      </c>
      <c r="AI48" s="564">
        <f>K48</f>
        <v>348.8</v>
      </c>
      <c r="AJ48" s="564">
        <f>P48</f>
        <v>588.6</v>
      </c>
      <c r="AK48" s="564">
        <f>S48</f>
        <v>828.4</v>
      </c>
      <c r="AL48" s="543"/>
      <c r="AM48" s="543"/>
      <c r="AN48" s="543"/>
      <c r="AO48" s="543"/>
      <c r="AP48" s="543"/>
      <c r="AQ48" s="543"/>
      <c r="AR48" s="543"/>
      <c r="AS48" s="543"/>
      <c r="AT48" s="543"/>
    </row>
    <row r="49" spans="1:46" x14ac:dyDescent="0.3">
      <c r="A49" s="605" t="s">
        <v>442</v>
      </c>
      <c r="B49" s="605"/>
      <c r="C49" s="605"/>
      <c r="D49" s="597" t="s">
        <v>406</v>
      </c>
      <c r="E49" s="603">
        <f t="shared" ref="E49:AE49" si="46">E12</f>
        <v>0</v>
      </c>
      <c r="F49" s="603">
        <f t="shared" si="46"/>
        <v>0</v>
      </c>
      <c r="G49" s="603">
        <f t="shared" si="46"/>
        <v>109</v>
      </c>
      <c r="H49" s="604">
        <f t="shared" si="46"/>
        <v>109</v>
      </c>
      <c r="I49" s="604">
        <f t="shared" si="46"/>
        <v>109</v>
      </c>
      <c r="J49" s="604">
        <f t="shared" si="46"/>
        <v>109</v>
      </c>
      <c r="K49" s="604">
        <f t="shared" si="46"/>
        <v>109</v>
      </c>
      <c r="L49" s="604">
        <f t="shared" si="46"/>
        <v>109</v>
      </c>
      <c r="M49" s="604">
        <f t="shared" si="46"/>
        <v>109</v>
      </c>
      <c r="N49" s="604">
        <f t="shared" si="46"/>
        <v>109</v>
      </c>
      <c r="O49" s="604">
        <f t="shared" si="46"/>
        <v>109</v>
      </c>
      <c r="P49" s="604">
        <f t="shared" si="46"/>
        <v>109</v>
      </c>
      <c r="Q49" s="604">
        <f t="shared" si="46"/>
        <v>109</v>
      </c>
      <c r="R49" s="604">
        <f t="shared" si="46"/>
        <v>109</v>
      </c>
      <c r="S49" s="604">
        <f t="shared" si="46"/>
        <v>109</v>
      </c>
      <c r="T49" s="604">
        <f t="shared" si="46"/>
        <v>109</v>
      </c>
      <c r="U49" s="604">
        <f t="shared" si="46"/>
        <v>109</v>
      </c>
      <c r="V49" s="604">
        <f t="shared" si="46"/>
        <v>109</v>
      </c>
      <c r="W49" s="604">
        <f t="shared" si="46"/>
        <v>109</v>
      </c>
      <c r="X49" s="604">
        <f t="shared" si="46"/>
        <v>109</v>
      </c>
      <c r="Y49" s="604">
        <f t="shared" si="46"/>
        <v>109</v>
      </c>
      <c r="Z49" s="604">
        <f t="shared" si="46"/>
        <v>109</v>
      </c>
      <c r="AA49" s="604">
        <f t="shared" si="46"/>
        <v>109</v>
      </c>
      <c r="AB49" s="604">
        <f t="shared" si="46"/>
        <v>109</v>
      </c>
      <c r="AC49" s="604">
        <f t="shared" si="46"/>
        <v>109</v>
      </c>
      <c r="AD49" s="604">
        <f t="shared" si="46"/>
        <v>109</v>
      </c>
      <c r="AE49" s="604">
        <f t="shared" si="46"/>
        <v>109</v>
      </c>
      <c r="AF49" s="604">
        <f>S49</f>
        <v>109</v>
      </c>
      <c r="AG49" s="543"/>
      <c r="AH49" s="564">
        <f t="shared" ref="AH49:AH50" si="47">I49</f>
        <v>109</v>
      </c>
      <c r="AI49" s="564">
        <f t="shared" ref="AI49:AI50" si="48">K49</f>
        <v>109</v>
      </c>
      <c r="AJ49" s="564">
        <f t="shared" ref="AJ49:AJ50" si="49">P49</f>
        <v>109</v>
      </c>
      <c r="AK49" s="564">
        <f>S49</f>
        <v>109</v>
      </c>
      <c r="AL49" s="543"/>
      <c r="AM49" s="543"/>
      <c r="AN49" s="543"/>
      <c r="AO49" s="543"/>
      <c r="AP49" s="543"/>
      <c r="AQ49" s="543"/>
      <c r="AR49" s="543"/>
      <c r="AS49" s="543"/>
      <c r="AT49" s="543"/>
    </row>
    <row r="50" spans="1:46" x14ac:dyDescent="0.3">
      <c r="A50" s="605" t="s">
        <v>443</v>
      </c>
      <c r="B50" s="605"/>
      <c r="C50" s="605"/>
      <c r="D50" s="597" t="s">
        <v>406</v>
      </c>
      <c r="E50" s="606">
        <f>E35</f>
        <v>0</v>
      </c>
      <c r="F50" s="606">
        <f t="shared" ref="F50:AE50" si="50">F35</f>
        <v>0</v>
      </c>
      <c r="G50" s="606">
        <f t="shared" si="50"/>
        <v>0</v>
      </c>
      <c r="H50" s="607">
        <f t="shared" si="50"/>
        <v>0</v>
      </c>
      <c r="I50" s="607">
        <f t="shared" si="50"/>
        <v>0</v>
      </c>
      <c r="J50" s="607">
        <f t="shared" si="50"/>
        <v>0</v>
      </c>
      <c r="K50" s="607">
        <f t="shared" si="50"/>
        <v>239.8</v>
      </c>
      <c r="L50" s="607">
        <f t="shared" si="50"/>
        <v>239.8</v>
      </c>
      <c r="M50" s="607">
        <f t="shared" si="50"/>
        <v>239.8</v>
      </c>
      <c r="N50" s="607">
        <f t="shared" si="50"/>
        <v>239.8</v>
      </c>
      <c r="O50" s="607">
        <f t="shared" si="50"/>
        <v>479.6</v>
      </c>
      <c r="P50" s="607">
        <f t="shared" si="50"/>
        <v>479.6</v>
      </c>
      <c r="Q50" s="607">
        <f t="shared" si="50"/>
        <v>479.6</v>
      </c>
      <c r="R50" s="607">
        <f t="shared" si="50"/>
        <v>479.6</v>
      </c>
      <c r="S50" s="607">
        <f t="shared" si="50"/>
        <v>719.4</v>
      </c>
      <c r="T50" s="607">
        <f t="shared" si="50"/>
        <v>719.4</v>
      </c>
      <c r="U50" s="607">
        <f t="shared" si="50"/>
        <v>719.4</v>
      </c>
      <c r="V50" s="607">
        <f t="shared" si="50"/>
        <v>719.4</v>
      </c>
      <c r="W50" s="607">
        <f t="shared" si="50"/>
        <v>959.2</v>
      </c>
      <c r="X50" s="607">
        <f t="shared" si="50"/>
        <v>959.2</v>
      </c>
      <c r="Y50" s="607">
        <f t="shared" si="50"/>
        <v>959.2</v>
      </c>
      <c r="Z50" s="607">
        <f t="shared" si="50"/>
        <v>959.2</v>
      </c>
      <c r="AA50" s="607">
        <f t="shared" si="50"/>
        <v>1199</v>
      </c>
      <c r="AB50" s="607">
        <f t="shared" si="50"/>
        <v>1199</v>
      </c>
      <c r="AC50" s="607">
        <f t="shared" si="50"/>
        <v>1199</v>
      </c>
      <c r="AD50" s="607">
        <f t="shared" si="50"/>
        <v>1199</v>
      </c>
      <c r="AE50" s="607">
        <f t="shared" si="50"/>
        <v>1438.8</v>
      </c>
      <c r="AF50" s="607">
        <f>MAX(E50:S50)</f>
        <v>719.4</v>
      </c>
      <c r="AG50" s="543"/>
      <c r="AH50" s="564">
        <f t="shared" si="47"/>
        <v>0</v>
      </c>
      <c r="AI50" s="564">
        <f t="shared" si="48"/>
        <v>239.8</v>
      </c>
      <c r="AJ50" s="564">
        <f t="shared" si="49"/>
        <v>479.6</v>
      </c>
      <c r="AK50" s="564">
        <f>S50</f>
        <v>719.4</v>
      </c>
      <c r="AL50" s="543"/>
      <c r="AM50" s="543"/>
      <c r="AN50" s="543"/>
      <c r="AO50" s="543"/>
      <c r="AP50" s="543"/>
      <c r="AQ50" s="543"/>
      <c r="AR50" s="543"/>
      <c r="AS50" s="543"/>
      <c r="AT50" s="543"/>
    </row>
    <row r="51" spans="1:46" x14ac:dyDescent="0.3">
      <c r="A51" s="565"/>
      <c r="B51" s="565"/>
      <c r="C51" s="565"/>
      <c r="D51" s="558"/>
      <c r="E51" s="578"/>
      <c r="F51" s="578"/>
      <c r="G51" s="578"/>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43"/>
      <c r="AH51" s="548"/>
      <c r="AI51" s="548"/>
      <c r="AJ51" s="548"/>
      <c r="AK51" s="548"/>
      <c r="AL51" s="543"/>
      <c r="AM51" s="543"/>
      <c r="AN51" s="543"/>
      <c r="AO51" s="543"/>
      <c r="AP51" s="543"/>
      <c r="AQ51" s="543"/>
      <c r="AR51" s="543"/>
      <c r="AS51" s="543"/>
      <c r="AT51" s="543"/>
    </row>
    <row r="52" spans="1:46" x14ac:dyDescent="0.3">
      <c r="A52" s="602" t="s">
        <v>444</v>
      </c>
      <c r="B52" s="605"/>
      <c r="C52" s="605"/>
      <c r="D52" s="597"/>
      <c r="E52" s="606"/>
      <c r="F52" s="606"/>
      <c r="G52" s="606">
        <f>G53+G55</f>
        <v>8</v>
      </c>
      <c r="H52" s="607">
        <f t="shared" ref="H52:AF52" si="51">H53+H55</f>
        <v>8</v>
      </c>
      <c r="I52" s="607">
        <f t="shared" si="51"/>
        <v>8</v>
      </c>
      <c r="J52" s="607">
        <f t="shared" si="51"/>
        <v>8</v>
      </c>
      <c r="K52" s="607">
        <f t="shared" si="51"/>
        <v>13</v>
      </c>
      <c r="L52" s="607">
        <f t="shared" si="51"/>
        <v>13</v>
      </c>
      <c r="M52" s="607">
        <f t="shared" si="51"/>
        <v>13</v>
      </c>
      <c r="N52" s="607">
        <f t="shared" si="51"/>
        <v>13</v>
      </c>
      <c r="O52" s="607">
        <f t="shared" si="51"/>
        <v>18</v>
      </c>
      <c r="P52" s="607">
        <f t="shared" si="51"/>
        <v>18</v>
      </c>
      <c r="Q52" s="607">
        <f t="shared" si="51"/>
        <v>18</v>
      </c>
      <c r="R52" s="607">
        <f t="shared" si="51"/>
        <v>18</v>
      </c>
      <c r="S52" s="607">
        <f t="shared" si="51"/>
        <v>23</v>
      </c>
      <c r="T52" s="607">
        <f t="shared" si="51"/>
        <v>23</v>
      </c>
      <c r="U52" s="607">
        <f t="shared" si="51"/>
        <v>23</v>
      </c>
      <c r="V52" s="607">
        <f t="shared" si="51"/>
        <v>23</v>
      </c>
      <c r="W52" s="607">
        <f t="shared" si="51"/>
        <v>28</v>
      </c>
      <c r="X52" s="607">
        <f t="shared" si="51"/>
        <v>28</v>
      </c>
      <c r="Y52" s="607">
        <f t="shared" si="51"/>
        <v>28</v>
      </c>
      <c r="Z52" s="607">
        <f t="shared" si="51"/>
        <v>28</v>
      </c>
      <c r="AA52" s="607">
        <f t="shared" si="51"/>
        <v>33</v>
      </c>
      <c r="AB52" s="607">
        <f t="shared" si="51"/>
        <v>33</v>
      </c>
      <c r="AC52" s="607">
        <f t="shared" si="51"/>
        <v>33</v>
      </c>
      <c r="AD52" s="607">
        <f t="shared" si="51"/>
        <v>33</v>
      </c>
      <c r="AE52" s="607">
        <f t="shared" si="51"/>
        <v>38</v>
      </c>
      <c r="AF52" s="607">
        <f t="shared" si="51"/>
        <v>23</v>
      </c>
      <c r="AG52" s="543"/>
      <c r="AH52" s="564">
        <f t="shared" ref="AH52:AK52" si="52">AH53+AH55</f>
        <v>8</v>
      </c>
      <c r="AI52" s="564">
        <f t="shared" si="52"/>
        <v>13</v>
      </c>
      <c r="AJ52" s="564">
        <f t="shared" si="52"/>
        <v>18</v>
      </c>
      <c r="AK52" s="564">
        <f t="shared" si="52"/>
        <v>23</v>
      </c>
      <c r="AL52" s="543"/>
      <c r="AM52" s="543"/>
      <c r="AN52" s="543"/>
      <c r="AO52" s="543"/>
      <c r="AP52" s="543"/>
      <c r="AQ52" s="543"/>
      <c r="AR52" s="543"/>
      <c r="AS52" s="543"/>
      <c r="AT52" s="543"/>
    </row>
    <row r="53" spans="1:46" x14ac:dyDescent="0.3">
      <c r="A53" s="605" t="s">
        <v>349</v>
      </c>
      <c r="B53" s="605"/>
      <c r="C53" s="605"/>
      <c r="D53" s="597"/>
      <c r="E53" s="606"/>
      <c r="F53" s="606"/>
      <c r="G53" s="606">
        <f t="shared" ref="G53:AE53" si="53">G6+G23</f>
        <v>5</v>
      </c>
      <c r="H53" s="607">
        <f t="shared" si="53"/>
        <v>5</v>
      </c>
      <c r="I53" s="607">
        <f t="shared" si="53"/>
        <v>5</v>
      </c>
      <c r="J53" s="607">
        <f t="shared" si="53"/>
        <v>5</v>
      </c>
      <c r="K53" s="607">
        <f t="shared" si="53"/>
        <v>10</v>
      </c>
      <c r="L53" s="607">
        <f t="shared" si="53"/>
        <v>10</v>
      </c>
      <c r="M53" s="607">
        <f t="shared" si="53"/>
        <v>10</v>
      </c>
      <c r="N53" s="607">
        <f t="shared" si="53"/>
        <v>10</v>
      </c>
      <c r="O53" s="607">
        <f t="shared" si="53"/>
        <v>15</v>
      </c>
      <c r="P53" s="607">
        <f t="shared" si="53"/>
        <v>15</v>
      </c>
      <c r="Q53" s="607">
        <f t="shared" si="53"/>
        <v>15</v>
      </c>
      <c r="R53" s="607">
        <f t="shared" si="53"/>
        <v>15</v>
      </c>
      <c r="S53" s="607">
        <f t="shared" si="53"/>
        <v>20</v>
      </c>
      <c r="T53" s="607">
        <f t="shared" si="53"/>
        <v>20</v>
      </c>
      <c r="U53" s="607">
        <f t="shared" si="53"/>
        <v>20</v>
      </c>
      <c r="V53" s="607">
        <f t="shared" si="53"/>
        <v>20</v>
      </c>
      <c r="W53" s="607">
        <f t="shared" si="53"/>
        <v>25</v>
      </c>
      <c r="X53" s="607">
        <f t="shared" si="53"/>
        <v>25</v>
      </c>
      <c r="Y53" s="607">
        <f t="shared" si="53"/>
        <v>25</v>
      </c>
      <c r="Z53" s="607">
        <f t="shared" si="53"/>
        <v>25</v>
      </c>
      <c r="AA53" s="607">
        <f t="shared" si="53"/>
        <v>30</v>
      </c>
      <c r="AB53" s="607">
        <f t="shared" si="53"/>
        <v>30</v>
      </c>
      <c r="AC53" s="607">
        <f t="shared" si="53"/>
        <v>30</v>
      </c>
      <c r="AD53" s="607">
        <f t="shared" si="53"/>
        <v>30</v>
      </c>
      <c r="AE53" s="607">
        <f t="shared" si="53"/>
        <v>35</v>
      </c>
      <c r="AF53" s="607">
        <f>S53</f>
        <v>20</v>
      </c>
      <c r="AG53" s="543"/>
      <c r="AH53" s="564">
        <f t="shared" ref="AH53:AH55" si="54">I53</f>
        <v>5</v>
      </c>
      <c r="AI53" s="564">
        <f t="shared" ref="AI53:AI55" si="55">K53</f>
        <v>10</v>
      </c>
      <c r="AJ53" s="564">
        <f t="shared" ref="AJ53:AJ55" si="56">P53</f>
        <v>15</v>
      </c>
      <c r="AK53" s="564">
        <f>S53</f>
        <v>20</v>
      </c>
      <c r="AL53" s="543"/>
      <c r="AM53" s="543"/>
      <c r="AN53" s="543"/>
      <c r="AO53" s="543"/>
      <c r="AP53" s="543"/>
      <c r="AQ53" s="543"/>
      <c r="AR53" s="543"/>
      <c r="AS53" s="543"/>
      <c r="AT53" s="543"/>
    </row>
    <row r="54" spans="1:46" x14ac:dyDescent="0.3">
      <c r="A54" s="608" t="s">
        <v>445</v>
      </c>
      <c r="B54" s="605"/>
      <c r="C54" s="605"/>
      <c r="D54" s="597"/>
      <c r="E54" s="606"/>
      <c r="F54" s="606"/>
      <c r="G54" s="606">
        <f>G24</f>
        <v>0</v>
      </c>
      <c r="H54" s="607">
        <f t="shared" ref="H54:AE54" si="57">H24</f>
        <v>0</v>
      </c>
      <c r="I54" s="607">
        <f t="shared" si="57"/>
        <v>0</v>
      </c>
      <c r="J54" s="607">
        <f t="shared" si="57"/>
        <v>0</v>
      </c>
      <c r="K54" s="607">
        <f t="shared" si="57"/>
        <v>4</v>
      </c>
      <c r="L54" s="607">
        <f t="shared" si="57"/>
        <v>4</v>
      </c>
      <c r="M54" s="607">
        <f t="shared" si="57"/>
        <v>4</v>
      </c>
      <c r="N54" s="607">
        <f t="shared" si="57"/>
        <v>4</v>
      </c>
      <c r="O54" s="607">
        <f t="shared" si="57"/>
        <v>8</v>
      </c>
      <c r="P54" s="607">
        <f t="shared" si="57"/>
        <v>8</v>
      </c>
      <c r="Q54" s="607">
        <f t="shared" si="57"/>
        <v>8</v>
      </c>
      <c r="R54" s="607">
        <f t="shared" si="57"/>
        <v>8</v>
      </c>
      <c r="S54" s="607">
        <f t="shared" si="57"/>
        <v>12</v>
      </c>
      <c r="T54" s="607">
        <f t="shared" si="57"/>
        <v>12</v>
      </c>
      <c r="U54" s="607">
        <f t="shared" si="57"/>
        <v>12</v>
      </c>
      <c r="V54" s="607">
        <f t="shared" si="57"/>
        <v>12</v>
      </c>
      <c r="W54" s="607">
        <f t="shared" si="57"/>
        <v>16</v>
      </c>
      <c r="X54" s="607">
        <f t="shared" si="57"/>
        <v>16</v>
      </c>
      <c r="Y54" s="607">
        <f t="shared" si="57"/>
        <v>16</v>
      </c>
      <c r="Z54" s="607">
        <f t="shared" si="57"/>
        <v>16</v>
      </c>
      <c r="AA54" s="607">
        <f t="shared" si="57"/>
        <v>20</v>
      </c>
      <c r="AB54" s="607">
        <f t="shared" si="57"/>
        <v>20</v>
      </c>
      <c r="AC54" s="607">
        <f t="shared" si="57"/>
        <v>20</v>
      </c>
      <c r="AD54" s="607">
        <f t="shared" si="57"/>
        <v>20</v>
      </c>
      <c r="AE54" s="607">
        <f t="shared" si="57"/>
        <v>24</v>
      </c>
      <c r="AF54" s="607">
        <f>S54</f>
        <v>12</v>
      </c>
      <c r="AG54" s="543"/>
      <c r="AH54" s="564">
        <f t="shared" si="54"/>
        <v>0</v>
      </c>
      <c r="AI54" s="564">
        <f t="shared" si="55"/>
        <v>4</v>
      </c>
      <c r="AJ54" s="564">
        <f t="shared" si="56"/>
        <v>8</v>
      </c>
      <c r="AK54" s="564">
        <f>S54</f>
        <v>12</v>
      </c>
      <c r="AL54" s="543"/>
      <c r="AM54" s="543"/>
      <c r="AN54" s="543"/>
      <c r="AO54" s="543"/>
      <c r="AP54" s="543"/>
      <c r="AQ54" s="543"/>
      <c r="AR54" s="543"/>
      <c r="AS54" s="543"/>
      <c r="AT54" s="543"/>
    </row>
    <row r="55" spans="1:46" x14ac:dyDescent="0.3">
      <c r="A55" s="605" t="s">
        <v>446</v>
      </c>
      <c r="B55" s="605"/>
      <c r="C55" s="605"/>
      <c r="D55" s="597"/>
      <c r="E55" s="606"/>
      <c r="F55" s="606"/>
      <c r="G55" s="606">
        <f t="shared" ref="G55:AE55" si="58">G7</f>
        <v>3</v>
      </c>
      <c r="H55" s="607">
        <f t="shared" si="58"/>
        <v>3</v>
      </c>
      <c r="I55" s="607">
        <f t="shared" si="58"/>
        <v>3</v>
      </c>
      <c r="J55" s="607">
        <f t="shared" si="58"/>
        <v>3</v>
      </c>
      <c r="K55" s="607">
        <f t="shared" si="58"/>
        <v>3</v>
      </c>
      <c r="L55" s="607">
        <f t="shared" si="58"/>
        <v>3</v>
      </c>
      <c r="M55" s="607">
        <f t="shared" si="58"/>
        <v>3</v>
      </c>
      <c r="N55" s="607">
        <f t="shared" si="58"/>
        <v>3</v>
      </c>
      <c r="O55" s="607">
        <f t="shared" si="58"/>
        <v>3</v>
      </c>
      <c r="P55" s="607">
        <f t="shared" si="58"/>
        <v>3</v>
      </c>
      <c r="Q55" s="607">
        <f t="shared" si="58"/>
        <v>3</v>
      </c>
      <c r="R55" s="607">
        <f t="shared" si="58"/>
        <v>3</v>
      </c>
      <c r="S55" s="607">
        <f t="shared" si="58"/>
        <v>3</v>
      </c>
      <c r="T55" s="607">
        <f t="shared" si="58"/>
        <v>3</v>
      </c>
      <c r="U55" s="607">
        <f t="shared" si="58"/>
        <v>3</v>
      </c>
      <c r="V55" s="607">
        <f t="shared" si="58"/>
        <v>3</v>
      </c>
      <c r="W55" s="607">
        <f t="shared" si="58"/>
        <v>3</v>
      </c>
      <c r="X55" s="607">
        <f t="shared" si="58"/>
        <v>3</v>
      </c>
      <c r="Y55" s="607">
        <f t="shared" si="58"/>
        <v>3</v>
      </c>
      <c r="Z55" s="607">
        <f t="shared" si="58"/>
        <v>3</v>
      </c>
      <c r="AA55" s="607">
        <f t="shared" si="58"/>
        <v>3</v>
      </c>
      <c r="AB55" s="607">
        <f t="shared" si="58"/>
        <v>3</v>
      </c>
      <c r="AC55" s="607">
        <f t="shared" si="58"/>
        <v>3</v>
      </c>
      <c r="AD55" s="607">
        <f t="shared" si="58"/>
        <v>3</v>
      </c>
      <c r="AE55" s="607">
        <f t="shared" si="58"/>
        <v>3</v>
      </c>
      <c r="AF55" s="607">
        <f>S55</f>
        <v>3</v>
      </c>
      <c r="AG55" s="543"/>
      <c r="AH55" s="564">
        <f t="shared" si="54"/>
        <v>3</v>
      </c>
      <c r="AI55" s="564">
        <f t="shared" si="55"/>
        <v>3</v>
      </c>
      <c r="AJ55" s="564">
        <f t="shared" si="56"/>
        <v>3</v>
      </c>
      <c r="AK55" s="564">
        <f>S55</f>
        <v>3</v>
      </c>
      <c r="AL55" s="543"/>
      <c r="AM55" s="543"/>
      <c r="AN55" s="543"/>
      <c r="AO55" s="543"/>
      <c r="AP55" s="543"/>
      <c r="AQ55" s="543"/>
      <c r="AR55" s="543"/>
      <c r="AS55" s="543"/>
      <c r="AT55" s="543"/>
    </row>
    <row r="56" spans="1:46" x14ac:dyDescent="0.3">
      <c r="A56" s="565"/>
      <c r="B56" s="559"/>
      <c r="C56" s="559"/>
      <c r="D56" s="558"/>
      <c r="E56" s="568"/>
      <c r="F56" s="568"/>
      <c r="G56" s="568"/>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64"/>
      <c r="AG56" s="543"/>
      <c r="AH56" s="548"/>
      <c r="AI56" s="548"/>
      <c r="AJ56" s="548"/>
      <c r="AK56" s="548"/>
      <c r="AL56" s="543"/>
      <c r="AM56" s="543"/>
      <c r="AN56" s="543"/>
      <c r="AO56" s="543"/>
      <c r="AP56" s="543"/>
      <c r="AQ56" s="543"/>
      <c r="AR56" s="543"/>
      <c r="AS56" s="543"/>
      <c r="AT56" s="543"/>
    </row>
    <row r="57" spans="1:46" x14ac:dyDescent="0.3">
      <c r="A57" s="596" t="s">
        <v>447</v>
      </c>
      <c r="B57" s="609"/>
      <c r="C57" s="609"/>
      <c r="D57" s="597"/>
      <c r="E57" s="603"/>
      <c r="F57" s="603"/>
      <c r="G57" s="603"/>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7"/>
      <c r="AG57" s="543"/>
      <c r="AH57" s="548"/>
      <c r="AI57" s="548"/>
      <c r="AJ57" s="548"/>
      <c r="AK57" s="548"/>
      <c r="AL57" s="543"/>
      <c r="AM57" s="543"/>
      <c r="AN57" s="543"/>
      <c r="AO57" s="543"/>
      <c r="AP57" s="543"/>
      <c r="AQ57" s="543"/>
      <c r="AR57" s="543"/>
      <c r="AS57" s="543"/>
      <c r="AT57" s="543"/>
    </row>
    <row r="58" spans="1:46" x14ac:dyDescent="0.3">
      <c r="A58" s="605" t="s">
        <v>448</v>
      </c>
      <c r="B58" s="609"/>
      <c r="C58" s="609"/>
      <c r="D58" s="597" t="s">
        <v>399</v>
      </c>
      <c r="E58" s="598"/>
      <c r="F58" s="598"/>
      <c r="G58" s="610">
        <f t="shared" ref="G58:AE59" si="59">G9+G32</f>
        <v>18595400</v>
      </c>
      <c r="H58" s="611">
        <f t="shared" si="59"/>
        <v>18595400</v>
      </c>
      <c r="I58" s="611">
        <f t="shared" si="59"/>
        <v>18595400</v>
      </c>
      <c r="J58" s="611">
        <f t="shared" si="59"/>
        <v>18595400</v>
      </c>
      <c r="K58" s="611">
        <f t="shared" si="59"/>
        <v>66943440</v>
      </c>
      <c r="L58" s="611">
        <f t="shared" si="59"/>
        <v>66943440</v>
      </c>
      <c r="M58" s="611">
        <f t="shared" si="59"/>
        <v>66943440</v>
      </c>
      <c r="N58" s="611">
        <f t="shared" si="59"/>
        <v>66943440</v>
      </c>
      <c r="O58" s="611">
        <f t="shared" si="59"/>
        <v>115291480</v>
      </c>
      <c r="P58" s="611">
        <f t="shared" si="59"/>
        <v>115291480</v>
      </c>
      <c r="Q58" s="611">
        <f t="shared" si="59"/>
        <v>115291480</v>
      </c>
      <c r="R58" s="611">
        <f t="shared" si="59"/>
        <v>115291480</v>
      </c>
      <c r="S58" s="611">
        <f t="shared" si="59"/>
        <v>163639520</v>
      </c>
      <c r="T58" s="611">
        <f t="shared" si="59"/>
        <v>163639520</v>
      </c>
      <c r="U58" s="611">
        <f t="shared" si="59"/>
        <v>163639520</v>
      </c>
      <c r="V58" s="611">
        <f t="shared" si="59"/>
        <v>163639520</v>
      </c>
      <c r="W58" s="611">
        <f t="shared" si="59"/>
        <v>211987560</v>
      </c>
      <c r="X58" s="611">
        <f t="shared" si="59"/>
        <v>211987560</v>
      </c>
      <c r="Y58" s="611">
        <f t="shared" si="59"/>
        <v>211987560</v>
      </c>
      <c r="Z58" s="611">
        <f t="shared" si="59"/>
        <v>211987560</v>
      </c>
      <c r="AA58" s="611">
        <f t="shared" si="59"/>
        <v>260335600</v>
      </c>
      <c r="AB58" s="611">
        <f t="shared" si="59"/>
        <v>260335600</v>
      </c>
      <c r="AC58" s="611">
        <f t="shared" si="59"/>
        <v>260335600</v>
      </c>
      <c r="AD58" s="611">
        <f t="shared" si="59"/>
        <v>260335600</v>
      </c>
      <c r="AE58" s="611">
        <f t="shared" si="59"/>
        <v>308683640</v>
      </c>
      <c r="AF58" s="611">
        <f>SUM(E58:S58)</f>
        <v>966960800</v>
      </c>
      <c r="AG58" s="543"/>
      <c r="AH58" s="572">
        <f>SUM($G58:I58)</f>
        <v>55786200</v>
      </c>
      <c r="AI58" s="572">
        <f>SUM($G58:K58)</f>
        <v>141325040</v>
      </c>
      <c r="AJ58" s="572">
        <f>SUM($G58:P58)</f>
        <v>572738320</v>
      </c>
      <c r="AK58" s="572">
        <f>SUM($G58:S58)</f>
        <v>966960800</v>
      </c>
      <c r="AL58" s="543"/>
      <c r="AM58" s="543"/>
      <c r="AN58" s="543"/>
      <c r="AO58" s="543"/>
      <c r="AP58" s="543"/>
      <c r="AQ58" s="543"/>
      <c r="AR58" s="543"/>
      <c r="AS58" s="543"/>
      <c r="AT58" s="543"/>
    </row>
    <row r="59" spans="1:46" x14ac:dyDescent="0.3">
      <c r="A59" s="605" t="s">
        <v>435</v>
      </c>
      <c r="B59" s="609"/>
      <c r="C59" s="609"/>
      <c r="D59" s="597" t="s">
        <v>399</v>
      </c>
      <c r="E59" s="598"/>
      <c r="F59" s="598"/>
      <c r="G59" s="610">
        <f t="shared" si="59"/>
        <v>14876320</v>
      </c>
      <c r="H59" s="611">
        <f t="shared" si="59"/>
        <v>14876320</v>
      </c>
      <c r="I59" s="611">
        <f t="shared" si="59"/>
        <v>14876320</v>
      </c>
      <c r="J59" s="611">
        <f t="shared" si="59"/>
        <v>14876320</v>
      </c>
      <c r="K59" s="611">
        <f t="shared" si="59"/>
        <v>53554752</v>
      </c>
      <c r="L59" s="611">
        <f t="shared" si="59"/>
        <v>53554752</v>
      </c>
      <c r="M59" s="611">
        <f t="shared" si="59"/>
        <v>53554752</v>
      </c>
      <c r="N59" s="611">
        <f t="shared" si="59"/>
        <v>53554752</v>
      </c>
      <c r="O59" s="611">
        <f t="shared" si="59"/>
        <v>92233184</v>
      </c>
      <c r="P59" s="611">
        <f t="shared" si="59"/>
        <v>92233184</v>
      </c>
      <c r="Q59" s="611">
        <f t="shared" si="59"/>
        <v>92233184</v>
      </c>
      <c r="R59" s="611">
        <f t="shared" si="59"/>
        <v>92233184</v>
      </c>
      <c r="S59" s="611">
        <f t="shared" si="59"/>
        <v>130911616</v>
      </c>
      <c r="T59" s="611">
        <f t="shared" si="59"/>
        <v>130911616</v>
      </c>
      <c r="U59" s="611">
        <f t="shared" si="59"/>
        <v>130911616</v>
      </c>
      <c r="V59" s="611">
        <f t="shared" si="59"/>
        <v>130911616</v>
      </c>
      <c r="W59" s="611">
        <f t="shared" si="59"/>
        <v>169590048</v>
      </c>
      <c r="X59" s="611">
        <f t="shared" si="59"/>
        <v>169590048</v>
      </c>
      <c r="Y59" s="611">
        <f t="shared" si="59"/>
        <v>169590048</v>
      </c>
      <c r="Z59" s="611">
        <f t="shared" si="59"/>
        <v>169590048</v>
      </c>
      <c r="AA59" s="611">
        <f t="shared" si="59"/>
        <v>208268480</v>
      </c>
      <c r="AB59" s="611">
        <f t="shared" si="59"/>
        <v>208268480</v>
      </c>
      <c r="AC59" s="611">
        <f t="shared" si="59"/>
        <v>208268480</v>
      </c>
      <c r="AD59" s="611">
        <f t="shared" si="59"/>
        <v>208268480</v>
      </c>
      <c r="AE59" s="611">
        <f t="shared" si="59"/>
        <v>246946912</v>
      </c>
      <c r="AF59" s="611">
        <f>SUM(E59:S59)</f>
        <v>773568640</v>
      </c>
      <c r="AG59" s="543"/>
      <c r="AH59" s="572">
        <f>SUM($G59:I59)</f>
        <v>44628960</v>
      </c>
      <c r="AI59" s="572">
        <f>SUM($G59:K59)</f>
        <v>113060032</v>
      </c>
      <c r="AJ59" s="572">
        <f>SUM($G59:P59)</f>
        <v>458190656</v>
      </c>
      <c r="AK59" s="572">
        <f>SUM($G59:S59)</f>
        <v>773568640</v>
      </c>
      <c r="AL59" s="543"/>
      <c r="AM59" s="612"/>
      <c r="AN59" s="543"/>
      <c r="AO59" s="543"/>
      <c r="AP59" s="543"/>
      <c r="AQ59" s="543"/>
      <c r="AR59" s="543"/>
      <c r="AS59" s="543"/>
      <c r="AT59" s="543"/>
    </row>
    <row r="60" spans="1:46" x14ac:dyDescent="0.3">
      <c r="A60" s="605" t="s">
        <v>404</v>
      </c>
      <c r="B60" s="603"/>
      <c r="C60" s="613"/>
      <c r="D60" s="597" t="s">
        <v>399</v>
      </c>
      <c r="E60" s="598"/>
      <c r="F60" s="598"/>
      <c r="G60" s="610">
        <f>G34+G11</f>
        <v>3880399.9999999991</v>
      </c>
      <c r="H60" s="611">
        <f t="shared" ref="H60:AE60" si="60">H34+H11</f>
        <v>3880399.9999999991</v>
      </c>
      <c r="I60" s="611">
        <f t="shared" si="60"/>
        <v>3880399.9999999991</v>
      </c>
      <c r="J60" s="611">
        <f t="shared" si="60"/>
        <v>3880399.9999999991</v>
      </c>
      <c r="K60" s="611">
        <f t="shared" si="60"/>
        <v>12417279.999999996</v>
      </c>
      <c r="L60" s="611">
        <f t="shared" si="60"/>
        <v>12417279.999999996</v>
      </c>
      <c r="M60" s="611">
        <f t="shared" si="60"/>
        <v>12417279.999999996</v>
      </c>
      <c r="N60" s="611">
        <f t="shared" si="60"/>
        <v>12417279.999999996</v>
      </c>
      <c r="O60" s="611">
        <f t="shared" si="60"/>
        <v>20954159.999999996</v>
      </c>
      <c r="P60" s="611">
        <f t="shared" si="60"/>
        <v>20954159.999999996</v>
      </c>
      <c r="Q60" s="611">
        <f t="shared" si="60"/>
        <v>20954159.999999996</v>
      </c>
      <c r="R60" s="611">
        <f t="shared" si="60"/>
        <v>20954159.999999996</v>
      </c>
      <c r="S60" s="611">
        <f t="shared" si="60"/>
        <v>29491039.999999993</v>
      </c>
      <c r="T60" s="611">
        <f t="shared" si="60"/>
        <v>29491039.999999993</v>
      </c>
      <c r="U60" s="611">
        <f t="shared" si="60"/>
        <v>29491039.999999993</v>
      </c>
      <c r="V60" s="611">
        <f t="shared" si="60"/>
        <v>29491039.999999993</v>
      </c>
      <c r="W60" s="611">
        <f t="shared" si="60"/>
        <v>38027919.999999993</v>
      </c>
      <c r="X60" s="611">
        <f t="shared" si="60"/>
        <v>38027919.999999993</v>
      </c>
      <c r="Y60" s="611">
        <f t="shared" si="60"/>
        <v>38027919.999999993</v>
      </c>
      <c r="Z60" s="611">
        <f t="shared" si="60"/>
        <v>38027919.999999993</v>
      </c>
      <c r="AA60" s="611">
        <f t="shared" si="60"/>
        <v>46564799.999999993</v>
      </c>
      <c r="AB60" s="611">
        <f t="shared" si="60"/>
        <v>46564799.999999993</v>
      </c>
      <c r="AC60" s="611">
        <f t="shared" si="60"/>
        <v>46564799.999999993</v>
      </c>
      <c r="AD60" s="611">
        <f t="shared" si="60"/>
        <v>46564799.999999993</v>
      </c>
      <c r="AE60" s="611">
        <f t="shared" si="60"/>
        <v>55101679.999999985</v>
      </c>
      <c r="AF60" s="611">
        <f>SUM(E60:S60)</f>
        <v>178498399.99999997</v>
      </c>
      <c r="AG60" s="543"/>
      <c r="AH60" s="572">
        <f>SUM($G60:I60)</f>
        <v>11641199.999999996</v>
      </c>
      <c r="AI60" s="572">
        <f>SUM($G60:K60)</f>
        <v>27938879.999999993</v>
      </c>
      <c r="AJ60" s="572">
        <f>SUM($G60:P60)</f>
        <v>107099039.99999999</v>
      </c>
      <c r="AK60" s="572">
        <f>SUM($G60:S60)</f>
        <v>178498399.99999997</v>
      </c>
      <c r="AL60" s="543"/>
      <c r="AM60" s="612"/>
      <c r="AN60" s="543"/>
      <c r="AO60" s="543"/>
      <c r="AP60" s="543"/>
      <c r="AQ60" s="543"/>
      <c r="AR60" s="543"/>
      <c r="AS60" s="543"/>
      <c r="AT60" s="543"/>
    </row>
    <row r="61" spans="1:46" x14ac:dyDescent="0.3">
      <c r="A61" s="605" t="s">
        <v>449</v>
      </c>
      <c r="B61" s="609"/>
      <c r="C61" s="609"/>
      <c r="D61" s="597" t="s">
        <v>399</v>
      </c>
      <c r="E61" s="614">
        <f t="shared" ref="E61:AE61" si="61">E8+E28</f>
        <v>0</v>
      </c>
      <c r="F61" s="614">
        <f t="shared" si="61"/>
        <v>0</v>
      </c>
      <c r="G61" s="614">
        <f t="shared" si="61"/>
        <v>5000000</v>
      </c>
      <c r="H61" s="615">
        <f t="shared" si="61"/>
        <v>0</v>
      </c>
      <c r="I61" s="615">
        <f t="shared" si="61"/>
        <v>0</v>
      </c>
      <c r="J61" s="615">
        <f t="shared" si="61"/>
        <v>21427050.300000008</v>
      </c>
      <c r="K61" s="615">
        <f t="shared" si="61"/>
        <v>5000000</v>
      </c>
      <c r="L61" s="615">
        <f t="shared" si="61"/>
        <v>0</v>
      </c>
      <c r="M61" s="615">
        <f t="shared" si="61"/>
        <v>0</v>
      </c>
      <c r="N61" s="615">
        <f t="shared" si="61"/>
        <v>21427050.300000008</v>
      </c>
      <c r="O61" s="615">
        <f t="shared" si="61"/>
        <v>5000000</v>
      </c>
      <c r="P61" s="615">
        <f t="shared" si="61"/>
        <v>0</v>
      </c>
      <c r="Q61" s="615">
        <f t="shared" si="61"/>
        <v>0</v>
      </c>
      <c r="R61" s="615">
        <f t="shared" si="61"/>
        <v>21427050.300000008</v>
      </c>
      <c r="S61" s="615">
        <f t="shared" si="61"/>
        <v>5000000</v>
      </c>
      <c r="T61" s="615">
        <f t="shared" si="61"/>
        <v>0</v>
      </c>
      <c r="U61" s="615">
        <f t="shared" si="61"/>
        <v>0</v>
      </c>
      <c r="V61" s="615">
        <f t="shared" si="61"/>
        <v>21427050.300000008</v>
      </c>
      <c r="W61" s="615">
        <f t="shared" si="61"/>
        <v>5000000</v>
      </c>
      <c r="X61" s="615">
        <f t="shared" si="61"/>
        <v>0</v>
      </c>
      <c r="Y61" s="615">
        <f t="shared" si="61"/>
        <v>0</v>
      </c>
      <c r="Z61" s="615">
        <f t="shared" si="61"/>
        <v>21427050.300000008</v>
      </c>
      <c r="AA61" s="615">
        <f t="shared" si="61"/>
        <v>5000000</v>
      </c>
      <c r="AB61" s="615">
        <f t="shared" si="61"/>
        <v>0</v>
      </c>
      <c r="AC61" s="615">
        <f t="shared" si="61"/>
        <v>0</v>
      </c>
      <c r="AD61" s="615">
        <f t="shared" si="61"/>
        <v>21427050.300000008</v>
      </c>
      <c r="AE61" s="615">
        <f t="shared" si="61"/>
        <v>5000000</v>
      </c>
      <c r="AF61" s="611">
        <f>SUM(E61:S61)</f>
        <v>84281150.900000021</v>
      </c>
      <c r="AG61" s="543"/>
      <c r="AH61" s="572"/>
      <c r="AI61" s="572"/>
      <c r="AJ61" s="572"/>
      <c r="AK61" s="572"/>
      <c r="AL61" s="543"/>
      <c r="AM61" s="543"/>
      <c r="AN61" s="543"/>
      <c r="AO61" s="543"/>
      <c r="AP61" s="543"/>
      <c r="AQ61" s="543"/>
      <c r="AR61" s="543"/>
      <c r="AS61" s="543"/>
      <c r="AT61" s="543"/>
    </row>
    <row r="62" spans="1:46" x14ac:dyDescent="0.3">
      <c r="A62" s="605" t="s">
        <v>450</v>
      </c>
      <c r="B62" s="609"/>
      <c r="C62" s="609"/>
      <c r="D62" s="597" t="s">
        <v>451</v>
      </c>
      <c r="E62" s="614"/>
      <c r="F62" s="614"/>
      <c r="G62" s="614">
        <f>G61</f>
        <v>5000000</v>
      </c>
      <c r="H62" s="615">
        <f>G62+H61</f>
        <v>5000000</v>
      </c>
      <c r="I62" s="615">
        <f t="shared" ref="I62:AE62" si="62">H62+I61</f>
        <v>5000000</v>
      </c>
      <c r="J62" s="615">
        <f t="shared" si="62"/>
        <v>26427050.300000008</v>
      </c>
      <c r="K62" s="615">
        <f t="shared" si="62"/>
        <v>31427050.300000008</v>
      </c>
      <c r="L62" s="615">
        <f t="shared" si="62"/>
        <v>31427050.300000008</v>
      </c>
      <c r="M62" s="615">
        <f t="shared" si="62"/>
        <v>31427050.300000008</v>
      </c>
      <c r="N62" s="615">
        <f t="shared" si="62"/>
        <v>52854100.600000016</v>
      </c>
      <c r="O62" s="615">
        <f t="shared" si="62"/>
        <v>57854100.600000016</v>
      </c>
      <c r="P62" s="615">
        <f t="shared" si="62"/>
        <v>57854100.600000016</v>
      </c>
      <c r="Q62" s="615">
        <f t="shared" si="62"/>
        <v>57854100.600000016</v>
      </c>
      <c r="R62" s="615">
        <f t="shared" si="62"/>
        <v>79281150.900000021</v>
      </c>
      <c r="S62" s="615">
        <f t="shared" si="62"/>
        <v>84281150.900000021</v>
      </c>
      <c r="T62" s="615">
        <f t="shared" si="62"/>
        <v>84281150.900000021</v>
      </c>
      <c r="U62" s="615">
        <f t="shared" si="62"/>
        <v>84281150.900000021</v>
      </c>
      <c r="V62" s="615">
        <f t="shared" si="62"/>
        <v>105708201.20000003</v>
      </c>
      <c r="W62" s="615">
        <f t="shared" si="62"/>
        <v>110708201.20000003</v>
      </c>
      <c r="X62" s="615">
        <f t="shared" si="62"/>
        <v>110708201.20000003</v>
      </c>
      <c r="Y62" s="615">
        <f t="shared" si="62"/>
        <v>110708201.20000003</v>
      </c>
      <c r="Z62" s="615">
        <f t="shared" si="62"/>
        <v>132135251.50000004</v>
      </c>
      <c r="AA62" s="615">
        <f t="shared" si="62"/>
        <v>137135251.50000006</v>
      </c>
      <c r="AB62" s="615">
        <f t="shared" si="62"/>
        <v>137135251.50000006</v>
      </c>
      <c r="AC62" s="615">
        <f t="shared" si="62"/>
        <v>137135251.50000006</v>
      </c>
      <c r="AD62" s="615">
        <f t="shared" si="62"/>
        <v>158562301.80000007</v>
      </c>
      <c r="AE62" s="615">
        <f t="shared" si="62"/>
        <v>163562301.80000007</v>
      </c>
      <c r="AF62" s="611">
        <f>S62</f>
        <v>84281150.900000021</v>
      </c>
      <c r="AG62" s="543"/>
      <c r="AH62" s="572">
        <f>I62</f>
        <v>5000000</v>
      </c>
      <c r="AI62" s="572">
        <f>K62</f>
        <v>31427050.300000008</v>
      </c>
      <c r="AJ62" s="572">
        <f>P62</f>
        <v>57854100.600000016</v>
      </c>
      <c r="AK62" s="572">
        <f>S62</f>
        <v>84281150.900000021</v>
      </c>
      <c r="AL62" s="543"/>
      <c r="AM62" s="543"/>
      <c r="AN62" s="543"/>
      <c r="AO62" s="543"/>
      <c r="AP62" s="543"/>
      <c r="AQ62" s="543"/>
      <c r="AR62" s="543"/>
      <c r="AS62" s="543"/>
      <c r="AT62" s="543"/>
    </row>
    <row r="63" spans="1:46" x14ac:dyDescent="0.3">
      <c r="A63" s="616"/>
      <c r="B63" s="617"/>
      <c r="C63" s="617"/>
      <c r="D63" s="618"/>
      <c r="E63" s="619"/>
      <c r="F63" s="619"/>
      <c r="G63" s="619"/>
      <c r="H63" s="620"/>
      <c r="I63" s="620"/>
      <c r="J63" s="620"/>
      <c r="K63" s="620"/>
      <c r="L63" s="620"/>
      <c r="M63" s="620"/>
      <c r="N63" s="620"/>
      <c r="O63" s="620"/>
      <c r="P63" s="620"/>
      <c r="Q63" s="620"/>
      <c r="R63" s="620"/>
      <c r="S63" s="620"/>
      <c r="T63" s="620"/>
      <c r="U63" s="620"/>
      <c r="V63" s="620"/>
      <c r="W63" s="620"/>
      <c r="X63" s="620"/>
      <c r="Y63" s="620"/>
      <c r="Z63" s="620"/>
      <c r="AA63" s="620"/>
      <c r="AB63" s="620"/>
      <c r="AC63" s="620"/>
      <c r="AD63" s="620"/>
      <c r="AE63" s="620"/>
      <c r="AF63" s="621"/>
      <c r="AG63" s="543"/>
      <c r="AH63" s="543"/>
      <c r="AI63" s="543"/>
      <c r="AJ63" s="543"/>
      <c r="AK63" s="543"/>
      <c r="AL63" s="543"/>
      <c r="AM63" s="543"/>
      <c r="AN63" s="543"/>
      <c r="AO63" s="543"/>
      <c r="AP63" s="543"/>
      <c r="AQ63" s="543"/>
      <c r="AR63" s="543"/>
      <c r="AS63" s="543"/>
      <c r="AT63" s="543"/>
    </row>
    <row r="64" spans="1:46" x14ac:dyDescent="0.3">
      <c r="A64" s="622" t="s">
        <v>452</v>
      </c>
      <c r="B64" s="617"/>
      <c r="C64" s="617"/>
      <c r="D64" s="618"/>
      <c r="E64" s="619"/>
      <c r="F64" s="619"/>
      <c r="G64" s="619"/>
      <c r="H64" s="620"/>
      <c r="I64" s="620"/>
      <c r="J64" s="620"/>
      <c r="K64" s="620"/>
      <c r="L64" s="620"/>
      <c r="M64" s="620"/>
      <c r="N64" s="620"/>
      <c r="O64" s="620"/>
      <c r="P64" s="620"/>
      <c r="Q64" s="620"/>
      <c r="R64" s="620"/>
      <c r="S64" s="620"/>
      <c r="T64" s="620"/>
      <c r="U64" s="620"/>
      <c r="V64" s="620"/>
      <c r="W64" s="620"/>
      <c r="X64" s="620"/>
      <c r="Y64" s="620"/>
      <c r="Z64" s="620"/>
      <c r="AA64" s="620"/>
      <c r="AB64" s="620"/>
      <c r="AC64" s="620"/>
      <c r="AD64" s="620"/>
      <c r="AE64" s="620"/>
      <c r="AF64" s="621"/>
      <c r="AG64" s="543"/>
      <c r="AH64" s="543"/>
      <c r="AI64" s="543"/>
      <c r="AJ64" s="543"/>
      <c r="AK64" s="543"/>
      <c r="AL64" s="543"/>
      <c r="AM64" s="543"/>
      <c r="AN64" s="543"/>
      <c r="AO64" s="543"/>
      <c r="AP64" s="543"/>
      <c r="AQ64" s="543"/>
      <c r="AR64" s="543"/>
      <c r="AS64" s="543"/>
      <c r="AT64" s="543"/>
    </row>
    <row r="65" spans="1:46" x14ac:dyDescent="0.3">
      <c r="A65" s="549"/>
      <c r="B65" s="549"/>
      <c r="C65" s="549"/>
      <c r="D65" s="618"/>
      <c r="E65" s="617"/>
      <c r="F65" s="617"/>
      <c r="G65" s="617"/>
      <c r="I65" s="549"/>
      <c r="AG65" s="543"/>
      <c r="AH65" s="543"/>
      <c r="AJ65" s="543"/>
      <c r="AK65" s="543"/>
      <c r="AL65" s="543"/>
      <c r="AM65" s="543"/>
      <c r="AN65" s="543"/>
      <c r="AO65" s="543"/>
      <c r="AP65" s="543"/>
      <c r="AQ65" s="543"/>
      <c r="AR65" s="543"/>
      <c r="AS65" s="543"/>
      <c r="AT65" s="543"/>
    </row>
    <row r="66" spans="1:46" x14ac:dyDescent="0.3">
      <c r="A66" s="623" t="s">
        <v>453</v>
      </c>
      <c r="B66" s="623"/>
      <c r="C66" s="623"/>
      <c r="D66" s="558" t="s">
        <v>399</v>
      </c>
      <c r="E66" s="580">
        <f>'1. Projekti elluviimise kulud'!D41</f>
        <v>0</v>
      </c>
      <c r="F66" s="580">
        <f>'1. Projekti elluviimise kulud'!E41</f>
        <v>8463724.9976799991</v>
      </c>
      <c r="G66" s="580">
        <f>'[5]1. Projekti elluviimise kulud'!F45*'[5]5. Abikõlblik kulu'!$C$18</f>
        <v>0</v>
      </c>
      <c r="H66" s="581">
        <f>'[5]1. Projekti elluviimise kulud'!G45*'[5]5. Abikõlblik kulu'!$C$18</f>
        <v>0</v>
      </c>
      <c r="I66" s="581">
        <f>'[4]Денежный поток'!H16+'[4]Денежный поток'!H17</f>
        <v>0</v>
      </c>
      <c r="J66" s="581">
        <f>'[4]Денежный поток'!I16+'[4]Денежный поток'!I17</f>
        <v>0</v>
      </c>
      <c r="K66" s="581">
        <f>'[4]Денежный поток'!J16+'[4]Денежный поток'!J17</f>
        <v>0</v>
      </c>
      <c r="L66" s="581">
        <f>'[4]Денежный поток'!K16+'[4]Денежный поток'!K17</f>
        <v>0</v>
      </c>
      <c r="M66" s="581">
        <f>'[4]Денежный поток'!L16+'[4]Денежный поток'!L17</f>
        <v>0</v>
      </c>
      <c r="N66" s="581">
        <f>'[4]Денежный поток'!M16+'[4]Денежный поток'!M17</f>
        <v>0</v>
      </c>
      <c r="O66" s="581">
        <f>'[4]Денежный поток'!N16+'[4]Денежный поток'!N17</f>
        <v>0</v>
      </c>
      <c r="P66" s="581">
        <f>'[4]Денежный поток'!O16+'[4]Денежный поток'!O17</f>
        <v>0</v>
      </c>
      <c r="Q66" s="581">
        <f>'[4]Денежный поток'!P16+'[4]Денежный поток'!P17</f>
        <v>0</v>
      </c>
      <c r="R66" s="581">
        <f>'[4]Денежный поток'!Q16+'[4]Денежный поток'!Q17</f>
        <v>0</v>
      </c>
      <c r="S66" s="581">
        <f>'[4]Денежный поток'!R16+'[4]Денежный поток'!R17</f>
        <v>0</v>
      </c>
      <c r="T66" s="581">
        <f>'[4]Денежный поток'!S16+'[4]Денежный поток'!S17</f>
        <v>0</v>
      </c>
      <c r="U66" s="581">
        <f>'[4]Денежный поток'!T16+'[4]Денежный поток'!T17</f>
        <v>0</v>
      </c>
      <c r="V66" s="581">
        <f>'[4]Денежный поток'!U16+'[4]Денежный поток'!U17</f>
        <v>0</v>
      </c>
      <c r="W66" s="581">
        <f>'[4]Денежный поток'!V16+'[4]Денежный поток'!V17</f>
        <v>0</v>
      </c>
      <c r="X66" s="581">
        <f>'[4]Денежный поток'!W16+'[4]Денежный поток'!W17</f>
        <v>0</v>
      </c>
      <c r="Y66" s="581">
        <f>'[4]Денежный поток'!X16+'[4]Денежный поток'!X17</f>
        <v>0</v>
      </c>
      <c r="Z66" s="581">
        <f>'[4]Денежный поток'!Y16+'[4]Денежный поток'!Y17</f>
        <v>0</v>
      </c>
      <c r="AA66" s="581">
        <f>'[4]Денежный поток'!Z16+'[4]Денежный поток'!Z17</f>
        <v>0</v>
      </c>
      <c r="AB66" s="581">
        <f>'[4]Денежный поток'!AA16+'[4]Денежный поток'!AA17</f>
        <v>0</v>
      </c>
      <c r="AC66" s="581">
        <f>'[4]Денежный поток'!AB16+'[4]Денежный поток'!AB17</f>
        <v>0</v>
      </c>
      <c r="AD66" s="581">
        <f>'[4]Денежный поток'!AC16+'[4]Денежный поток'!AC17</f>
        <v>0</v>
      </c>
      <c r="AE66" s="581">
        <f>'[4]Денежный поток'!AD16+'[4]Денежный поток'!AD17</f>
        <v>0</v>
      </c>
      <c r="AF66" s="581">
        <f>SUM(E66:AE66)</f>
        <v>8463724.9976799991</v>
      </c>
      <c r="AG66" s="543"/>
      <c r="AH66" s="612"/>
      <c r="AI66" s="612"/>
      <c r="AJ66" s="612"/>
      <c r="AK66" s="612"/>
      <c r="AL66" s="543"/>
      <c r="AM66" s="543"/>
      <c r="AN66" s="543"/>
      <c r="AO66" s="543"/>
      <c r="AP66" s="543"/>
      <c r="AQ66" s="543"/>
      <c r="AR66" s="543"/>
      <c r="AS66" s="543"/>
      <c r="AT66" s="543"/>
    </row>
    <row r="67" spans="1:46" x14ac:dyDescent="0.3">
      <c r="A67" s="617"/>
      <c r="B67" s="617"/>
      <c r="C67" s="617"/>
      <c r="D67" s="618"/>
      <c r="E67" s="617"/>
      <c r="F67" s="617"/>
      <c r="G67" s="617"/>
      <c r="AG67" s="543"/>
      <c r="AH67" s="543"/>
      <c r="AI67" s="543"/>
      <c r="AJ67" s="543"/>
      <c r="AK67" s="543"/>
      <c r="AL67" s="543"/>
      <c r="AM67" s="543"/>
      <c r="AN67" s="543"/>
      <c r="AO67" s="543"/>
      <c r="AP67" s="543"/>
      <c r="AQ67" s="543"/>
      <c r="AR67" s="543"/>
      <c r="AS67" s="543"/>
      <c r="AT67" s="543"/>
    </row>
    <row r="68" spans="1:46" x14ac:dyDescent="0.3">
      <c r="A68" s="623" t="s">
        <v>454</v>
      </c>
      <c r="B68" s="623"/>
      <c r="C68" s="623"/>
      <c r="D68" s="558" t="s">
        <v>399</v>
      </c>
      <c r="E68" s="580">
        <f t="shared" ref="E68:S68" si="63">E42</f>
        <v>0</v>
      </c>
      <c r="F68" s="580">
        <f t="shared" si="63"/>
        <v>0</v>
      </c>
      <c r="G68" s="580">
        <f t="shared" si="63"/>
        <v>1724535.0049760002</v>
      </c>
      <c r="H68" s="581">
        <f t="shared" si="63"/>
        <v>1724535.0049760002</v>
      </c>
      <c r="I68" s="581">
        <f t="shared" si="63"/>
        <v>1724535.0049760002</v>
      </c>
      <c r="J68" s="581">
        <f t="shared" si="63"/>
        <v>1724535.0049760002</v>
      </c>
      <c r="K68" s="581">
        <f t="shared" si="63"/>
        <v>5816038.4159232005</v>
      </c>
      <c r="L68" s="581">
        <f t="shared" si="63"/>
        <v>5816038.4159232005</v>
      </c>
      <c r="M68" s="581">
        <f t="shared" si="63"/>
        <v>5816038.4159232005</v>
      </c>
      <c r="N68" s="581">
        <f t="shared" si="63"/>
        <v>5816038.4159232005</v>
      </c>
      <c r="O68" s="581">
        <f t="shared" si="63"/>
        <v>9907541.8268704005</v>
      </c>
      <c r="P68" s="581">
        <f t="shared" si="63"/>
        <v>9907541.8268704005</v>
      </c>
      <c r="Q68" s="581">
        <f t="shared" si="63"/>
        <v>9907541.8268704005</v>
      </c>
      <c r="R68" s="581">
        <f t="shared" si="63"/>
        <v>9907541.8268704005</v>
      </c>
      <c r="S68" s="581">
        <f t="shared" si="63"/>
        <v>13999045.2378176</v>
      </c>
      <c r="T68" s="581"/>
      <c r="U68" s="581"/>
      <c r="V68" s="581"/>
      <c r="W68" s="581"/>
      <c r="X68" s="581"/>
      <c r="Y68" s="581"/>
      <c r="Z68" s="581"/>
      <c r="AA68" s="581"/>
      <c r="AB68" s="581"/>
      <c r="AC68" s="581"/>
      <c r="AD68" s="581"/>
      <c r="AE68" s="581"/>
      <c r="AF68" s="581">
        <f>SUM(E68:AE68)</f>
        <v>83791506.228895992</v>
      </c>
      <c r="AG68" s="543"/>
      <c r="AH68" s="543"/>
      <c r="AI68" s="543"/>
      <c r="AJ68" s="543"/>
      <c r="AK68" s="543"/>
      <c r="AL68" s="543"/>
      <c r="AM68" s="543"/>
      <c r="AN68" s="543"/>
      <c r="AO68" s="543"/>
      <c r="AP68" s="543"/>
      <c r="AQ68" s="543"/>
      <c r="AR68" s="543"/>
      <c r="AS68" s="543"/>
      <c r="AT68" s="543"/>
    </row>
    <row r="69" spans="1:46" x14ac:dyDescent="0.3">
      <c r="A69" s="565" t="s">
        <v>455</v>
      </c>
      <c r="B69" s="559"/>
      <c r="C69" s="559"/>
      <c r="D69" s="558" t="s">
        <v>399</v>
      </c>
      <c r="E69" s="624">
        <f t="shared" ref="E69:S69" si="64">E19</f>
        <v>0</v>
      </c>
      <c r="F69" s="624">
        <f t="shared" si="64"/>
        <v>0</v>
      </c>
      <c r="G69" s="624">
        <f t="shared" si="64"/>
        <v>1592273.7440000002</v>
      </c>
      <c r="H69" s="581">
        <f t="shared" si="64"/>
        <v>1592273.7440000002</v>
      </c>
      <c r="I69" s="581">
        <f t="shared" si="64"/>
        <v>1592273.7440000002</v>
      </c>
      <c r="J69" s="581">
        <f t="shared" si="64"/>
        <v>1592273.7440000002</v>
      </c>
      <c r="K69" s="581">
        <f t="shared" si="64"/>
        <v>1592273.7440000002</v>
      </c>
      <c r="L69" s="581">
        <f t="shared" si="64"/>
        <v>1592273.7440000002</v>
      </c>
      <c r="M69" s="581">
        <f t="shared" si="64"/>
        <v>1592273.7440000002</v>
      </c>
      <c r="N69" s="581">
        <f t="shared" si="64"/>
        <v>1592273.7440000002</v>
      </c>
      <c r="O69" s="581">
        <f t="shared" si="64"/>
        <v>1592273.7440000002</v>
      </c>
      <c r="P69" s="581">
        <f t="shared" si="64"/>
        <v>1592273.7440000002</v>
      </c>
      <c r="Q69" s="581">
        <f t="shared" si="64"/>
        <v>1592273.7440000002</v>
      </c>
      <c r="R69" s="581">
        <f t="shared" si="64"/>
        <v>1592273.7440000002</v>
      </c>
      <c r="S69" s="581">
        <f t="shared" si="64"/>
        <v>1592273.7440000002</v>
      </c>
      <c r="T69" s="581"/>
      <c r="U69" s="581"/>
      <c r="V69" s="581"/>
      <c r="W69" s="581"/>
      <c r="X69" s="581"/>
      <c r="Y69" s="581"/>
      <c r="Z69" s="581"/>
      <c r="AA69" s="581"/>
      <c r="AB69" s="581"/>
      <c r="AC69" s="581"/>
      <c r="AD69" s="581"/>
      <c r="AE69" s="581"/>
      <c r="AF69" s="581">
        <f>SUM(E69:AE69)</f>
        <v>20699558.672000002</v>
      </c>
      <c r="AG69" s="543"/>
      <c r="AH69" s="543"/>
      <c r="AI69" s="543"/>
      <c r="AJ69" s="543"/>
      <c r="AK69" s="543"/>
      <c r="AL69" s="543"/>
      <c r="AM69" s="543"/>
      <c r="AN69" s="543"/>
      <c r="AO69" s="543"/>
      <c r="AP69" s="543"/>
      <c r="AQ69" s="543"/>
      <c r="AR69" s="543"/>
      <c r="AS69" s="543"/>
      <c r="AT69" s="543"/>
    </row>
    <row r="70" spans="1:46" x14ac:dyDescent="0.3">
      <c r="A70" s="616"/>
      <c r="B70" s="617"/>
      <c r="C70" s="617"/>
      <c r="D70" s="618"/>
      <c r="E70" s="625"/>
      <c r="F70" s="625"/>
      <c r="G70" s="625"/>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543"/>
      <c r="AH70" s="543"/>
      <c r="AI70" s="543"/>
      <c r="AJ70" s="543"/>
      <c r="AK70" s="543"/>
      <c r="AL70" s="543"/>
      <c r="AM70" s="543"/>
      <c r="AN70" s="543"/>
      <c r="AO70" s="543"/>
      <c r="AP70" s="543"/>
      <c r="AQ70" s="543"/>
      <c r="AR70" s="543"/>
      <c r="AS70" s="543"/>
      <c r="AT70" s="543"/>
    </row>
    <row r="71" spans="1:46" x14ac:dyDescent="0.3">
      <c r="A71" s="559" t="s">
        <v>456</v>
      </c>
      <c r="B71" s="559"/>
      <c r="C71" s="559"/>
      <c r="D71" s="558" t="s">
        <v>399</v>
      </c>
      <c r="E71" s="624">
        <f>E68-E66</f>
        <v>0</v>
      </c>
      <c r="F71" s="624">
        <f t="shared" ref="F71:S71" si="65">F68-F66</f>
        <v>-8463724.9976799991</v>
      </c>
      <c r="G71" s="624">
        <f t="shared" si="65"/>
        <v>1724535.0049760002</v>
      </c>
      <c r="H71" s="627">
        <f t="shared" si="65"/>
        <v>1724535.0049760002</v>
      </c>
      <c r="I71" s="581">
        <f t="shared" si="65"/>
        <v>1724535.0049760002</v>
      </c>
      <c r="J71" s="581">
        <f t="shared" si="65"/>
        <v>1724535.0049760002</v>
      </c>
      <c r="K71" s="581">
        <f t="shared" si="65"/>
        <v>5816038.4159232005</v>
      </c>
      <c r="L71" s="581">
        <f t="shared" si="65"/>
        <v>5816038.4159232005</v>
      </c>
      <c r="M71" s="581">
        <f t="shared" si="65"/>
        <v>5816038.4159232005</v>
      </c>
      <c r="N71" s="581">
        <f t="shared" si="65"/>
        <v>5816038.4159232005</v>
      </c>
      <c r="O71" s="581">
        <f t="shared" si="65"/>
        <v>9907541.8268704005</v>
      </c>
      <c r="P71" s="581">
        <f t="shared" si="65"/>
        <v>9907541.8268704005</v>
      </c>
      <c r="Q71" s="581">
        <f t="shared" si="65"/>
        <v>9907541.8268704005</v>
      </c>
      <c r="R71" s="581">
        <f t="shared" si="65"/>
        <v>9907541.8268704005</v>
      </c>
      <c r="S71" s="581">
        <f t="shared" si="65"/>
        <v>13999045.2378176</v>
      </c>
      <c r="T71" s="581"/>
      <c r="U71" s="581"/>
      <c r="V71" s="581"/>
      <c r="W71" s="581"/>
      <c r="X71" s="581"/>
      <c r="Y71" s="581"/>
      <c r="Z71" s="581"/>
      <c r="AA71" s="581"/>
      <c r="AB71" s="581"/>
      <c r="AC71" s="581"/>
      <c r="AD71" s="581"/>
      <c r="AE71" s="581"/>
      <c r="AF71" s="581">
        <f>SUM(E71:AE71)</f>
        <v>75327781.231215999</v>
      </c>
      <c r="AG71" s="543"/>
      <c r="AH71" s="543"/>
      <c r="AI71" s="543"/>
      <c r="AJ71" s="543"/>
      <c r="AK71" s="543"/>
      <c r="AL71" s="543"/>
      <c r="AM71" s="543"/>
      <c r="AN71" s="543"/>
      <c r="AO71" s="543"/>
      <c r="AP71" s="543"/>
      <c r="AQ71" s="543"/>
      <c r="AR71" s="543"/>
      <c r="AS71" s="543"/>
      <c r="AT71" s="543"/>
    </row>
    <row r="72" spans="1:46" x14ac:dyDescent="0.3">
      <c r="A72" s="559" t="str">
        <f>A69</f>
        <v>sh otsene mõju (Inkubaatori ettevõtted)</v>
      </c>
      <c r="B72" s="559"/>
      <c r="C72" s="559"/>
      <c r="D72" s="558" t="s">
        <v>399</v>
      </c>
      <c r="E72" s="624">
        <f>E69-E66</f>
        <v>0</v>
      </c>
      <c r="F72" s="624">
        <f t="shared" ref="F72:S72" si="66">F69-F66</f>
        <v>-8463724.9976799991</v>
      </c>
      <c r="G72" s="624">
        <f t="shared" si="66"/>
        <v>1592273.7440000002</v>
      </c>
      <c r="H72" s="627">
        <f t="shared" si="66"/>
        <v>1592273.7440000002</v>
      </c>
      <c r="I72" s="581">
        <f t="shared" si="66"/>
        <v>1592273.7440000002</v>
      </c>
      <c r="J72" s="581">
        <f t="shared" si="66"/>
        <v>1592273.7440000002</v>
      </c>
      <c r="K72" s="581">
        <f t="shared" si="66"/>
        <v>1592273.7440000002</v>
      </c>
      <c r="L72" s="581">
        <f t="shared" si="66"/>
        <v>1592273.7440000002</v>
      </c>
      <c r="M72" s="581">
        <f t="shared" si="66"/>
        <v>1592273.7440000002</v>
      </c>
      <c r="N72" s="581">
        <f t="shared" si="66"/>
        <v>1592273.7440000002</v>
      </c>
      <c r="O72" s="581">
        <f t="shared" si="66"/>
        <v>1592273.7440000002</v>
      </c>
      <c r="P72" s="581">
        <f t="shared" si="66"/>
        <v>1592273.7440000002</v>
      </c>
      <c r="Q72" s="581">
        <f t="shared" si="66"/>
        <v>1592273.7440000002</v>
      </c>
      <c r="R72" s="581">
        <f t="shared" si="66"/>
        <v>1592273.7440000002</v>
      </c>
      <c r="S72" s="581">
        <f t="shared" si="66"/>
        <v>1592273.7440000002</v>
      </c>
      <c r="T72" s="581"/>
      <c r="U72" s="581"/>
      <c r="V72" s="581"/>
      <c r="W72" s="581"/>
      <c r="X72" s="581"/>
      <c r="Y72" s="581"/>
      <c r="Z72" s="581"/>
      <c r="AA72" s="581"/>
      <c r="AB72" s="581"/>
      <c r="AC72" s="581"/>
      <c r="AD72" s="581"/>
      <c r="AE72" s="581"/>
      <c r="AF72" s="581">
        <f>SUM(E72:AE72)</f>
        <v>12235833.674320003</v>
      </c>
      <c r="AG72" s="543"/>
      <c r="AH72" s="543"/>
      <c r="AI72" s="543"/>
      <c r="AJ72" s="543"/>
      <c r="AK72" s="543"/>
      <c r="AL72" s="543"/>
      <c r="AM72" s="543"/>
      <c r="AN72" s="543"/>
      <c r="AO72" s="543"/>
      <c r="AP72" s="543"/>
      <c r="AQ72" s="543"/>
      <c r="AR72" s="543"/>
      <c r="AS72" s="543"/>
      <c r="AT72" s="543"/>
    </row>
    <row r="73" spans="1:46" x14ac:dyDescent="0.3">
      <c r="A73" s="617"/>
      <c r="B73" s="617"/>
      <c r="C73" s="617"/>
      <c r="D73" s="618"/>
      <c r="E73" s="628"/>
      <c r="F73" s="628"/>
      <c r="G73" s="628"/>
      <c r="H73" s="629"/>
      <c r="I73" s="626"/>
      <c r="J73" s="626"/>
      <c r="K73" s="626"/>
      <c r="L73" s="626"/>
      <c r="M73" s="626"/>
      <c r="N73" s="626"/>
      <c r="O73" s="626"/>
      <c r="P73" s="626"/>
      <c r="Q73" s="626"/>
      <c r="R73" s="626"/>
      <c r="S73" s="626"/>
      <c r="T73" s="626"/>
      <c r="U73" s="626"/>
      <c r="V73" s="626"/>
      <c r="W73" s="626"/>
      <c r="X73" s="626"/>
      <c r="Y73" s="626"/>
      <c r="Z73" s="626"/>
      <c r="AA73" s="626"/>
      <c r="AB73" s="626"/>
      <c r="AC73" s="626"/>
      <c r="AD73" s="626"/>
      <c r="AE73" s="626"/>
      <c r="AF73" s="626"/>
      <c r="AG73" s="543"/>
      <c r="AH73" s="543"/>
      <c r="AI73" s="543"/>
      <c r="AJ73" s="543"/>
      <c r="AK73" s="543"/>
      <c r="AL73" s="543"/>
      <c r="AM73" s="543"/>
      <c r="AN73" s="543"/>
      <c r="AO73" s="543"/>
      <c r="AP73" s="543"/>
      <c r="AQ73" s="543"/>
      <c r="AR73" s="543"/>
      <c r="AS73" s="543"/>
      <c r="AT73" s="543"/>
    </row>
    <row r="74" spans="1:46" ht="15.5" x14ac:dyDescent="0.35">
      <c r="A74" s="630" t="s">
        <v>457</v>
      </c>
      <c r="B74" s="630"/>
      <c r="C74" s="630"/>
      <c r="D74" s="558" t="s">
        <v>451</v>
      </c>
      <c r="E74" s="624">
        <f>E71</f>
        <v>0</v>
      </c>
      <c r="F74" s="624">
        <f>E74+F71</f>
        <v>-8463724.9976799991</v>
      </c>
      <c r="G74" s="624">
        <f>F74+G71</f>
        <v>-6739189.9927039985</v>
      </c>
      <c r="H74" s="627">
        <f t="shared" ref="H74:AF75" si="67">G74+H71</f>
        <v>-5014654.9877279978</v>
      </c>
      <c r="I74" s="627">
        <f t="shared" si="67"/>
        <v>-3290119.9827519977</v>
      </c>
      <c r="J74" s="627">
        <f t="shared" si="67"/>
        <v>-1565584.9777759975</v>
      </c>
      <c r="K74" s="627">
        <f t="shared" si="67"/>
        <v>4250453.4381472031</v>
      </c>
      <c r="L74" s="627">
        <f t="shared" si="67"/>
        <v>10066491.854070403</v>
      </c>
      <c r="M74" s="627">
        <f t="shared" si="67"/>
        <v>15882530.269993603</v>
      </c>
      <c r="N74" s="627">
        <f t="shared" si="67"/>
        <v>21698568.685916804</v>
      </c>
      <c r="O74" s="627">
        <f t="shared" si="67"/>
        <v>31606110.512787204</v>
      </c>
      <c r="P74" s="627">
        <f t="shared" si="67"/>
        <v>41513652.339657605</v>
      </c>
      <c r="Q74" s="627">
        <f t="shared" si="67"/>
        <v>51421194.166528001</v>
      </c>
      <c r="R74" s="627">
        <f t="shared" si="67"/>
        <v>61328735.993398398</v>
      </c>
      <c r="S74" s="627">
        <f t="shared" si="67"/>
        <v>75327781.231215999</v>
      </c>
      <c r="T74" s="627"/>
      <c r="U74" s="627"/>
      <c r="V74" s="627"/>
      <c r="W74" s="627"/>
      <c r="X74" s="627"/>
      <c r="Y74" s="627"/>
      <c r="Z74" s="627"/>
      <c r="AA74" s="627"/>
      <c r="AB74" s="627"/>
      <c r="AC74" s="627"/>
      <c r="AD74" s="627"/>
      <c r="AE74" s="627"/>
      <c r="AF74" s="627">
        <f t="shared" si="67"/>
        <v>75327781.231215999</v>
      </c>
      <c r="AG74" s="543"/>
      <c r="AH74" s="543"/>
      <c r="AI74" s="543"/>
      <c r="AJ74" s="543"/>
      <c r="AK74" s="543"/>
      <c r="AL74" s="543"/>
      <c r="AM74" s="543"/>
      <c r="AN74" s="543"/>
      <c r="AO74" s="543"/>
      <c r="AP74" s="543"/>
      <c r="AQ74" s="543"/>
      <c r="AR74" s="543"/>
      <c r="AS74" s="543"/>
      <c r="AT74" s="543"/>
    </row>
    <row r="75" spans="1:46" ht="15.5" x14ac:dyDescent="0.35">
      <c r="A75" s="631" t="s">
        <v>458</v>
      </c>
      <c r="B75" s="630"/>
      <c r="C75" s="630"/>
      <c r="D75" s="558" t="s">
        <v>451</v>
      </c>
      <c r="E75" s="624">
        <f>E72</f>
        <v>0</v>
      </c>
      <c r="F75" s="624">
        <f>E75+F72</f>
        <v>-8463724.9976799991</v>
      </c>
      <c r="G75" s="624">
        <f>F75+G72</f>
        <v>-6871451.2536799992</v>
      </c>
      <c r="H75" s="627">
        <f t="shared" si="67"/>
        <v>-5279177.5096799992</v>
      </c>
      <c r="I75" s="627">
        <f t="shared" si="67"/>
        <v>-3686903.7656799993</v>
      </c>
      <c r="J75" s="627">
        <f t="shared" si="67"/>
        <v>-2094630.0216799991</v>
      </c>
      <c r="K75" s="627">
        <f t="shared" si="67"/>
        <v>-502356.27767999889</v>
      </c>
      <c r="L75" s="627">
        <f t="shared" si="67"/>
        <v>1089917.4663200013</v>
      </c>
      <c r="M75" s="627">
        <f t="shared" si="67"/>
        <v>2682191.2103200015</v>
      </c>
      <c r="N75" s="627">
        <f t="shared" si="67"/>
        <v>4274464.9543200014</v>
      </c>
      <c r="O75" s="627">
        <f t="shared" si="67"/>
        <v>5866738.6983200014</v>
      </c>
      <c r="P75" s="627">
        <f t="shared" si="67"/>
        <v>7459012.4423200013</v>
      </c>
      <c r="Q75" s="627">
        <f t="shared" si="67"/>
        <v>9051286.1863200013</v>
      </c>
      <c r="R75" s="627">
        <f t="shared" si="67"/>
        <v>10643559.930320002</v>
      </c>
      <c r="S75" s="627">
        <f t="shared" si="67"/>
        <v>12235833.674320003</v>
      </c>
      <c r="T75" s="627"/>
      <c r="U75" s="627"/>
      <c r="V75" s="627"/>
      <c r="W75" s="627"/>
      <c r="X75" s="627"/>
      <c r="Y75" s="627"/>
      <c r="Z75" s="627"/>
      <c r="AA75" s="627"/>
      <c r="AB75" s="627"/>
      <c r="AC75" s="627"/>
      <c r="AD75" s="627"/>
      <c r="AE75" s="627"/>
      <c r="AF75" s="627">
        <f t="shared" si="67"/>
        <v>12235833.674320003</v>
      </c>
      <c r="AG75" s="543"/>
      <c r="AH75" s="543"/>
      <c r="AI75" s="543"/>
      <c r="AJ75" s="543"/>
      <c r="AK75" s="543"/>
      <c r="AL75" s="543"/>
      <c r="AM75" s="543"/>
      <c r="AN75" s="543"/>
      <c r="AO75" s="543"/>
      <c r="AP75" s="543"/>
      <c r="AQ75" s="543"/>
      <c r="AR75" s="543"/>
      <c r="AS75" s="543"/>
      <c r="AT75" s="543"/>
    </row>
    <row r="76" spans="1:46" x14ac:dyDescent="0.3">
      <c r="A76" s="617"/>
      <c r="B76" s="617"/>
      <c r="C76" s="617"/>
      <c r="D76" s="618"/>
      <c r="E76" s="617"/>
      <c r="F76" s="617"/>
      <c r="G76" s="617"/>
      <c r="AG76" s="543"/>
      <c r="AH76" s="543"/>
      <c r="AI76" s="543"/>
      <c r="AJ76" s="543"/>
      <c r="AK76" s="543"/>
      <c r="AL76" s="543"/>
      <c r="AM76" s="543"/>
      <c r="AN76" s="543"/>
      <c r="AO76" s="543"/>
      <c r="AP76" s="543"/>
      <c r="AQ76" s="543"/>
      <c r="AR76" s="543"/>
      <c r="AS76" s="543"/>
      <c r="AT76" s="543"/>
    </row>
    <row r="77" spans="1:46" x14ac:dyDescent="0.3">
      <c r="A77" s="617" t="s">
        <v>459</v>
      </c>
      <c r="B77" s="617"/>
      <c r="C77" s="617"/>
      <c r="D77" s="632">
        <v>0.04</v>
      </c>
      <c r="E77" s="617"/>
      <c r="F77" s="617"/>
      <c r="G77" s="617"/>
      <c r="AG77" s="543"/>
      <c r="AH77" s="543"/>
      <c r="AI77" s="543"/>
      <c r="AJ77" s="543"/>
      <c r="AK77" s="543"/>
      <c r="AL77" s="543"/>
      <c r="AM77" s="543"/>
      <c r="AN77" s="543"/>
      <c r="AO77" s="543"/>
      <c r="AP77" s="543"/>
      <c r="AQ77" s="543"/>
      <c r="AR77" s="543"/>
      <c r="AS77" s="543"/>
      <c r="AT77" s="543"/>
    </row>
    <row r="78" spans="1:46" ht="15.5" x14ac:dyDescent="0.35">
      <c r="A78" s="630" t="s">
        <v>460</v>
      </c>
      <c r="B78" s="630"/>
      <c r="C78" s="630"/>
      <c r="D78" s="550"/>
      <c r="E78" s="633">
        <v>1</v>
      </c>
      <c r="F78" s="633">
        <f>1+D77</f>
        <v>1.04</v>
      </c>
      <c r="G78" s="633">
        <f>$F$78*F78</f>
        <v>1.0816000000000001</v>
      </c>
      <c r="H78" s="633">
        <f>$F$78*G78</f>
        <v>1.1248640000000001</v>
      </c>
      <c r="I78" s="633">
        <f t="shared" ref="I78:S78" si="68">$F$78*H78</f>
        <v>1.1698585600000002</v>
      </c>
      <c r="J78" s="633">
        <f t="shared" si="68"/>
        <v>1.2166529024000003</v>
      </c>
      <c r="K78" s="633">
        <f t="shared" si="68"/>
        <v>1.2653190184960004</v>
      </c>
      <c r="L78" s="633">
        <f t="shared" si="68"/>
        <v>1.3159317792358405</v>
      </c>
      <c r="M78" s="633">
        <f t="shared" si="68"/>
        <v>1.3685690504052741</v>
      </c>
      <c r="N78" s="633">
        <f t="shared" si="68"/>
        <v>1.4233118124214852</v>
      </c>
      <c r="O78" s="633">
        <f t="shared" si="68"/>
        <v>1.4802442849183446</v>
      </c>
      <c r="P78" s="633">
        <f t="shared" si="68"/>
        <v>1.5394540563150785</v>
      </c>
      <c r="Q78" s="633">
        <f t="shared" si="68"/>
        <v>1.6010322185676817</v>
      </c>
      <c r="R78" s="633">
        <f t="shared" si="68"/>
        <v>1.6650735073103891</v>
      </c>
      <c r="S78" s="633">
        <f t="shared" si="68"/>
        <v>1.7316764476028046</v>
      </c>
      <c r="T78" s="633"/>
      <c r="U78" s="633"/>
      <c r="V78" s="633"/>
      <c r="W78" s="633"/>
      <c r="X78" s="633"/>
      <c r="Y78" s="633"/>
      <c r="Z78" s="633"/>
      <c r="AA78" s="633"/>
      <c r="AB78" s="633"/>
      <c r="AC78" s="633"/>
      <c r="AD78" s="633"/>
      <c r="AE78" s="633"/>
      <c r="AG78" s="543"/>
      <c r="AH78" s="543"/>
      <c r="AI78" s="543"/>
      <c r="AJ78" s="543"/>
      <c r="AK78" s="543"/>
      <c r="AL78" s="543"/>
      <c r="AM78" s="543"/>
      <c r="AN78" s="543"/>
      <c r="AO78" s="543"/>
      <c r="AP78" s="543"/>
      <c r="AQ78" s="543"/>
      <c r="AR78" s="543"/>
      <c r="AS78" s="543"/>
      <c r="AT78" s="543"/>
    </row>
    <row r="79" spans="1:46" ht="15.5" x14ac:dyDescent="0.35">
      <c r="A79" s="634"/>
      <c r="B79" s="634"/>
      <c r="C79" s="634"/>
      <c r="D79" s="635"/>
      <c r="E79" s="636"/>
      <c r="F79" s="636"/>
      <c r="G79" s="636"/>
      <c r="H79" s="636"/>
      <c r="I79" s="636"/>
      <c r="J79" s="636"/>
      <c r="K79" s="636"/>
      <c r="L79" s="636"/>
      <c r="M79" s="636"/>
      <c r="N79" s="636"/>
      <c r="O79" s="636"/>
      <c r="P79" s="636"/>
      <c r="Q79" s="636"/>
      <c r="R79" s="636"/>
      <c r="S79" s="636"/>
      <c r="T79" s="636"/>
      <c r="U79" s="636"/>
      <c r="V79" s="636"/>
      <c r="W79" s="636"/>
      <c r="X79" s="636"/>
      <c r="Y79" s="636"/>
      <c r="Z79" s="636"/>
      <c r="AA79" s="636"/>
      <c r="AB79" s="636"/>
      <c r="AC79" s="636"/>
      <c r="AD79" s="636"/>
      <c r="AE79" s="636"/>
      <c r="AG79" s="543"/>
      <c r="AH79" s="543"/>
      <c r="AI79" s="543"/>
      <c r="AJ79" s="543"/>
      <c r="AK79" s="543"/>
      <c r="AL79" s="543"/>
      <c r="AM79" s="543"/>
      <c r="AN79" s="543"/>
      <c r="AO79" s="543"/>
      <c r="AP79" s="543"/>
      <c r="AQ79" s="543"/>
      <c r="AR79" s="543"/>
      <c r="AS79" s="543"/>
      <c r="AT79" s="543"/>
    </row>
    <row r="80" spans="1:46" ht="15.5" x14ac:dyDescent="0.35">
      <c r="A80" s="630" t="s">
        <v>461</v>
      </c>
      <c r="B80" s="630"/>
      <c r="C80" s="630"/>
      <c r="D80" s="550"/>
      <c r="E80" s="580">
        <f>E66/E78</f>
        <v>0</v>
      </c>
      <c r="F80" s="580">
        <f t="shared" ref="F80:S80" si="69">F66/F78</f>
        <v>8138197.1131538451</v>
      </c>
      <c r="G80" s="580">
        <f t="shared" si="69"/>
        <v>0</v>
      </c>
      <c r="H80" s="581">
        <f t="shared" si="69"/>
        <v>0</v>
      </c>
      <c r="I80" s="581">
        <f t="shared" si="69"/>
        <v>0</v>
      </c>
      <c r="J80" s="581">
        <f t="shared" si="69"/>
        <v>0</v>
      </c>
      <c r="K80" s="581">
        <f t="shared" si="69"/>
        <v>0</v>
      </c>
      <c r="L80" s="581">
        <f t="shared" si="69"/>
        <v>0</v>
      </c>
      <c r="M80" s="581">
        <f t="shared" si="69"/>
        <v>0</v>
      </c>
      <c r="N80" s="581">
        <f t="shared" si="69"/>
        <v>0</v>
      </c>
      <c r="O80" s="581">
        <f t="shared" si="69"/>
        <v>0</v>
      </c>
      <c r="P80" s="581">
        <f t="shared" si="69"/>
        <v>0</v>
      </c>
      <c r="Q80" s="581">
        <f t="shared" si="69"/>
        <v>0</v>
      </c>
      <c r="R80" s="581">
        <f t="shared" si="69"/>
        <v>0</v>
      </c>
      <c r="S80" s="581">
        <f t="shared" si="69"/>
        <v>0</v>
      </c>
      <c r="T80" s="581"/>
      <c r="U80" s="581"/>
      <c r="V80" s="581"/>
      <c r="W80" s="581"/>
      <c r="X80" s="581"/>
      <c r="Y80" s="581"/>
      <c r="Z80" s="581"/>
      <c r="AA80" s="581"/>
      <c r="AB80" s="581"/>
      <c r="AC80" s="581"/>
      <c r="AD80" s="581"/>
      <c r="AE80" s="581"/>
      <c r="AF80" s="581">
        <f>SUM(E80:AE80)</f>
        <v>8138197.1131538451</v>
      </c>
      <c r="AG80" s="543"/>
      <c r="AH80" s="543"/>
      <c r="AI80" s="543"/>
      <c r="AJ80" s="543"/>
      <c r="AK80" s="543"/>
      <c r="AL80" s="543"/>
      <c r="AM80" s="543"/>
      <c r="AN80" s="543"/>
      <c r="AO80" s="543"/>
      <c r="AP80" s="543"/>
      <c r="AQ80" s="543"/>
      <c r="AR80" s="543"/>
      <c r="AS80" s="543"/>
      <c r="AT80" s="543"/>
    </row>
    <row r="81" spans="1:46" ht="15.5" x14ac:dyDescent="0.35">
      <c r="A81" s="634"/>
      <c r="B81" s="634"/>
      <c r="C81" s="634"/>
      <c r="D81" s="635"/>
      <c r="E81" s="636"/>
      <c r="F81" s="636"/>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G81" s="543"/>
      <c r="AH81" s="543"/>
      <c r="AI81" s="543"/>
      <c r="AJ81" s="543"/>
      <c r="AK81" s="543"/>
      <c r="AL81" s="543"/>
      <c r="AM81" s="543"/>
      <c r="AN81" s="543"/>
      <c r="AO81" s="543"/>
      <c r="AP81" s="543"/>
      <c r="AQ81" s="543"/>
      <c r="AR81" s="543"/>
      <c r="AS81" s="543"/>
      <c r="AT81" s="543"/>
    </row>
    <row r="82" spans="1:46" ht="15.5" x14ac:dyDescent="0.35">
      <c r="A82" s="630" t="s">
        <v>462</v>
      </c>
      <c r="B82" s="630"/>
      <c r="C82" s="630"/>
      <c r="D82" s="558" t="s">
        <v>399</v>
      </c>
      <c r="E82" s="580">
        <f>E68/E78</f>
        <v>0</v>
      </c>
      <c r="F82" s="580">
        <f t="shared" ref="F82:S82" si="70">F68/F78</f>
        <v>0</v>
      </c>
      <c r="G82" s="580">
        <f t="shared" si="70"/>
        <v>1594429.5534171597</v>
      </c>
      <c r="H82" s="581">
        <f t="shared" si="70"/>
        <v>1533105.3398241922</v>
      </c>
      <c r="I82" s="581">
        <f t="shared" si="70"/>
        <v>1474139.7498309538</v>
      </c>
      <c r="J82" s="581">
        <f t="shared" si="70"/>
        <v>1417442.0671451478</v>
      </c>
      <c r="K82" s="581">
        <f t="shared" si="70"/>
        <v>4596499.6423086524</v>
      </c>
      <c r="L82" s="581">
        <f t="shared" si="70"/>
        <v>4419711.1945275497</v>
      </c>
      <c r="M82" s="581">
        <f t="shared" si="70"/>
        <v>4249722.3024303364</v>
      </c>
      <c r="N82" s="581">
        <f t="shared" si="70"/>
        <v>4086271.4446445541</v>
      </c>
      <c r="O82" s="581">
        <f t="shared" si="70"/>
        <v>6693180.2593765361</v>
      </c>
      <c r="P82" s="581">
        <f t="shared" si="70"/>
        <v>6435750.2494005151</v>
      </c>
      <c r="Q82" s="581">
        <f t="shared" si="70"/>
        <v>6188221.3936543409</v>
      </c>
      <c r="R82" s="581">
        <f t="shared" si="70"/>
        <v>5950212.8785137888</v>
      </c>
      <c r="S82" s="581">
        <f t="shared" si="70"/>
        <v>8084099.8081349246</v>
      </c>
      <c r="T82" s="581"/>
      <c r="U82" s="581"/>
      <c r="V82" s="581"/>
      <c r="W82" s="581"/>
      <c r="X82" s="581"/>
      <c r="Y82" s="581"/>
      <c r="Z82" s="581"/>
      <c r="AA82" s="581"/>
      <c r="AB82" s="581"/>
      <c r="AC82" s="581"/>
      <c r="AD82" s="581"/>
      <c r="AE82" s="581"/>
      <c r="AF82" s="581">
        <f>SUM(E82:AE82)</f>
        <v>56722785.883208662</v>
      </c>
      <c r="AG82" s="543"/>
      <c r="AH82" s="543"/>
      <c r="AI82" s="543"/>
      <c r="AJ82" s="543"/>
      <c r="AK82" s="543"/>
      <c r="AL82" s="543"/>
      <c r="AM82" s="543"/>
      <c r="AN82" s="543"/>
      <c r="AO82" s="543"/>
      <c r="AP82" s="543"/>
      <c r="AQ82" s="543"/>
      <c r="AR82" s="543"/>
      <c r="AS82" s="543"/>
      <c r="AT82" s="543"/>
    </row>
    <row r="83" spans="1:46" ht="15.5" x14ac:dyDescent="0.35">
      <c r="A83" s="630" t="s">
        <v>458</v>
      </c>
      <c r="B83" s="630"/>
      <c r="C83" s="630"/>
      <c r="D83" s="558" t="s">
        <v>399</v>
      </c>
      <c r="E83" s="580">
        <f>E69/E78</f>
        <v>0</v>
      </c>
      <c r="F83" s="580">
        <f t="shared" ref="F83:S83" si="71">F69/F78</f>
        <v>0</v>
      </c>
      <c r="G83" s="580">
        <f t="shared" si="71"/>
        <v>1472146.5828402366</v>
      </c>
      <c r="H83" s="581">
        <f t="shared" si="71"/>
        <v>1415525.5604233046</v>
      </c>
      <c r="I83" s="581">
        <f t="shared" si="71"/>
        <v>1361082.2696377926</v>
      </c>
      <c r="J83" s="581">
        <f t="shared" si="71"/>
        <v>1308732.9515748005</v>
      </c>
      <c r="K83" s="581">
        <f t="shared" si="71"/>
        <v>1258397.0688219236</v>
      </c>
      <c r="L83" s="581">
        <f t="shared" si="71"/>
        <v>1209997.1815595417</v>
      </c>
      <c r="M83" s="581">
        <f t="shared" si="71"/>
        <v>1163458.8284226363</v>
      </c>
      <c r="N83" s="581">
        <f t="shared" si="71"/>
        <v>1118710.4119448427</v>
      </c>
      <c r="O83" s="581">
        <f t="shared" si="71"/>
        <v>1075683.0884085025</v>
      </c>
      <c r="P83" s="581">
        <f t="shared" si="71"/>
        <v>1034310.6619312523</v>
      </c>
      <c r="Q83" s="581">
        <f t="shared" si="71"/>
        <v>994529.48262620403</v>
      </c>
      <c r="R83" s="581">
        <f t="shared" si="71"/>
        <v>956278.3486790423</v>
      </c>
      <c r="S83" s="581">
        <f t="shared" si="71"/>
        <v>919498.41219138692</v>
      </c>
      <c r="T83" s="581"/>
      <c r="U83" s="581"/>
      <c r="V83" s="581"/>
      <c r="W83" s="581"/>
      <c r="X83" s="581"/>
      <c r="Y83" s="581"/>
      <c r="Z83" s="581"/>
      <c r="AA83" s="581"/>
      <c r="AB83" s="581"/>
      <c r="AC83" s="581"/>
      <c r="AD83" s="581"/>
      <c r="AE83" s="581"/>
      <c r="AF83" s="581">
        <f>SUM(E83:AE83)</f>
        <v>15288350.849061463</v>
      </c>
      <c r="AG83" s="543"/>
      <c r="AH83" s="543"/>
      <c r="AI83" s="543"/>
      <c r="AJ83" s="543"/>
      <c r="AK83" s="543"/>
      <c r="AL83" s="543"/>
      <c r="AM83" s="543"/>
      <c r="AN83" s="543"/>
      <c r="AO83" s="543"/>
      <c r="AP83" s="543"/>
      <c r="AQ83" s="543"/>
      <c r="AR83" s="543"/>
      <c r="AS83" s="543"/>
      <c r="AT83" s="543"/>
    </row>
    <row r="84" spans="1:46" x14ac:dyDescent="0.3">
      <c r="A84" s="617"/>
      <c r="B84" s="617"/>
      <c r="C84" s="617"/>
      <c r="D84" s="618"/>
      <c r="E84" s="617"/>
      <c r="F84" s="617"/>
      <c r="G84" s="617"/>
      <c r="AG84" s="543"/>
      <c r="AH84" s="543"/>
      <c r="AI84" s="543"/>
      <c r="AJ84" s="543"/>
      <c r="AK84" s="543"/>
      <c r="AL84" s="543"/>
      <c r="AM84" s="543"/>
      <c r="AN84" s="543"/>
      <c r="AO84" s="543"/>
      <c r="AP84" s="543"/>
      <c r="AQ84" s="543"/>
      <c r="AR84" s="543"/>
      <c r="AS84" s="543"/>
      <c r="AT84" s="543"/>
    </row>
    <row r="85" spans="1:46" ht="15.5" x14ac:dyDescent="0.35">
      <c r="A85" s="630" t="s">
        <v>463</v>
      </c>
      <c r="B85" s="630"/>
      <c r="C85" s="630"/>
      <c r="D85" s="558" t="s">
        <v>399</v>
      </c>
      <c r="E85" s="624">
        <f>E82-E80</f>
        <v>0</v>
      </c>
      <c r="F85" s="624">
        <f t="shared" ref="F85:S85" si="72">F82-F80</f>
        <v>-8138197.1131538451</v>
      </c>
      <c r="G85" s="624">
        <f t="shared" si="72"/>
        <v>1594429.5534171597</v>
      </c>
      <c r="H85" s="627">
        <f t="shared" si="72"/>
        <v>1533105.3398241922</v>
      </c>
      <c r="I85" s="627">
        <f t="shared" si="72"/>
        <v>1474139.7498309538</v>
      </c>
      <c r="J85" s="627">
        <f t="shared" si="72"/>
        <v>1417442.0671451478</v>
      </c>
      <c r="K85" s="627">
        <f t="shared" si="72"/>
        <v>4596499.6423086524</v>
      </c>
      <c r="L85" s="627">
        <f t="shared" si="72"/>
        <v>4419711.1945275497</v>
      </c>
      <c r="M85" s="627">
        <f t="shared" si="72"/>
        <v>4249722.3024303364</v>
      </c>
      <c r="N85" s="627">
        <f t="shared" si="72"/>
        <v>4086271.4446445541</v>
      </c>
      <c r="O85" s="627">
        <f t="shared" si="72"/>
        <v>6693180.2593765361</v>
      </c>
      <c r="P85" s="627">
        <f t="shared" si="72"/>
        <v>6435750.2494005151</v>
      </c>
      <c r="Q85" s="627">
        <f t="shared" si="72"/>
        <v>6188221.3936543409</v>
      </c>
      <c r="R85" s="627">
        <f t="shared" si="72"/>
        <v>5950212.8785137888</v>
      </c>
      <c r="S85" s="627">
        <f t="shared" si="72"/>
        <v>8084099.8081349246</v>
      </c>
      <c r="T85" s="627"/>
      <c r="U85" s="627"/>
      <c r="V85" s="627"/>
      <c r="W85" s="627"/>
      <c r="X85" s="627"/>
      <c r="Y85" s="627"/>
      <c r="Z85" s="627"/>
      <c r="AA85" s="627"/>
      <c r="AB85" s="627"/>
      <c r="AC85" s="627"/>
      <c r="AD85" s="627"/>
      <c r="AE85" s="627"/>
      <c r="AF85" s="581">
        <f>SUM(E85:AE85)</f>
        <v>48584588.770054802</v>
      </c>
      <c r="AG85" s="543"/>
      <c r="AH85" s="543"/>
      <c r="AI85" s="543"/>
      <c r="AJ85" s="543"/>
      <c r="AK85" s="543"/>
      <c r="AL85" s="543"/>
      <c r="AM85" s="543"/>
      <c r="AN85" s="543"/>
      <c r="AO85" s="543"/>
      <c r="AP85" s="543"/>
      <c r="AQ85" s="543"/>
      <c r="AR85" s="543"/>
      <c r="AS85" s="543"/>
      <c r="AT85" s="543"/>
    </row>
    <row r="86" spans="1:46" ht="15.5" x14ac:dyDescent="0.35">
      <c r="A86" s="631" t="str">
        <f>A83</f>
        <v>sh otsene mõju</v>
      </c>
      <c r="B86" s="630"/>
      <c r="C86" s="630"/>
      <c r="D86" s="558" t="s">
        <v>399</v>
      </c>
      <c r="E86" s="624">
        <f>E83-E80</f>
        <v>0</v>
      </c>
      <c r="F86" s="624">
        <f t="shared" ref="F86:S86" si="73">F83-F80</f>
        <v>-8138197.1131538451</v>
      </c>
      <c r="G86" s="624">
        <f t="shared" si="73"/>
        <v>1472146.5828402366</v>
      </c>
      <c r="H86" s="627">
        <f t="shared" si="73"/>
        <v>1415525.5604233046</v>
      </c>
      <c r="I86" s="627">
        <f t="shared" si="73"/>
        <v>1361082.2696377926</v>
      </c>
      <c r="J86" s="627">
        <f t="shared" si="73"/>
        <v>1308732.9515748005</v>
      </c>
      <c r="K86" s="627">
        <f t="shared" si="73"/>
        <v>1258397.0688219236</v>
      </c>
      <c r="L86" s="627">
        <f t="shared" si="73"/>
        <v>1209997.1815595417</v>
      </c>
      <c r="M86" s="627">
        <f t="shared" si="73"/>
        <v>1163458.8284226363</v>
      </c>
      <c r="N86" s="627">
        <f t="shared" si="73"/>
        <v>1118710.4119448427</v>
      </c>
      <c r="O86" s="627">
        <f t="shared" si="73"/>
        <v>1075683.0884085025</v>
      </c>
      <c r="P86" s="627">
        <f t="shared" si="73"/>
        <v>1034310.6619312523</v>
      </c>
      <c r="Q86" s="627">
        <f t="shared" si="73"/>
        <v>994529.48262620403</v>
      </c>
      <c r="R86" s="627">
        <f t="shared" si="73"/>
        <v>956278.3486790423</v>
      </c>
      <c r="S86" s="627">
        <f t="shared" si="73"/>
        <v>919498.41219138692</v>
      </c>
      <c r="T86" s="627"/>
      <c r="U86" s="627"/>
      <c r="V86" s="627"/>
      <c r="W86" s="627"/>
      <c r="X86" s="627"/>
      <c r="Y86" s="627"/>
      <c r="Z86" s="627"/>
      <c r="AA86" s="627"/>
      <c r="AB86" s="627"/>
      <c r="AC86" s="627"/>
      <c r="AD86" s="627"/>
      <c r="AE86" s="627"/>
      <c r="AF86" s="581">
        <f>SUM(E86:AE86)</f>
        <v>7150153.7359076217</v>
      </c>
      <c r="AG86" s="543"/>
      <c r="AH86" s="543"/>
      <c r="AI86" s="543"/>
      <c r="AJ86" s="543"/>
      <c r="AK86" s="543"/>
      <c r="AL86" s="543"/>
      <c r="AM86" s="543"/>
      <c r="AN86" s="543"/>
      <c r="AO86" s="543"/>
      <c r="AP86" s="543"/>
      <c r="AQ86" s="543"/>
      <c r="AR86" s="543"/>
      <c r="AS86" s="543"/>
      <c r="AT86" s="543"/>
    </row>
    <row r="87" spans="1:46" ht="16" thickBot="1" x14ac:dyDescent="0.4">
      <c r="A87" s="634"/>
      <c r="B87" s="634"/>
      <c r="C87" s="634"/>
      <c r="D87" s="637"/>
      <c r="E87" s="637"/>
      <c r="F87" s="637"/>
      <c r="G87" s="637"/>
      <c r="H87" s="637"/>
      <c r="I87" s="637"/>
      <c r="J87" s="637"/>
      <c r="AF87" s="638" t="s">
        <v>464</v>
      </c>
      <c r="AG87" s="543"/>
      <c r="AH87" s="543"/>
      <c r="AI87" s="543"/>
      <c r="AJ87" s="543"/>
      <c r="AK87" s="543"/>
      <c r="AL87" s="543"/>
      <c r="AM87" s="543"/>
      <c r="AN87" s="543"/>
      <c r="AO87" s="543"/>
      <c r="AP87" s="543"/>
      <c r="AQ87" s="543"/>
      <c r="AR87" s="543"/>
      <c r="AS87" s="543"/>
      <c r="AT87" s="543"/>
    </row>
    <row r="88" spans="1:46" ht="15.5" x14ac:dyDescent="0.35">
      <c r="A88" s="639" t="s">
        <v>465</v>
      </c>
      <c r="B88" s="639"/>
      <c r="C88" s="639"/>
      <c r="D88" s="597" t="s">
        <v>451</v>
      </c>
      <c r="E88" s="640">
        <f>E85</f>
        <v>0</v>
      </c>
      <c r="F88" s="640">
        <f>E88+F85</f>
        <v>-8138197.1131538451</v>
      </c>
      <c r="G88" s="640">
        <f t="shared" ref="G88:S89" si="74">F88+G85</f>
        <v>-6543767.5597366858</v>
      </c>
      <c r="H88" s="641">
        <f t="shared" si="74"/>
        <v>-5010662.2199124936</v>
      </c>
      <c r="I88" s="641">
        <f t="shared" si="74"/>
        <v>-3536522.4700815398</v>
      </c>
      <c r="J88" s="641">
        <f t="shared" si="74"/>
        <v>-2119080.402936392</v>
      </c>
      <c r="K88" s="641">
        <f t="shared" si="74"/>
        <v>2477419.2393722604</v>
      </c>
      <c r="L88" s="641">
        <f t="shared" si="74"/>
        <v>6897130.4338998105</v>
      </c>
      <c r="M88" s="641">
        <f t="shared" si="74"/>
        <v>11146852.736330148</v>
      </c>
      <c r="N88" s="641">
        <f t="shared" si="74"/>
        <v>15233124.180974701</v>
      </c>
      <c r="O88" s="641">
        <f t="shared" si="74"/>
        <v>21926304.440351237</v>
      </c>
      <c r="P88" s="641">
        <f t="shared" si="74"/>
        <v>28362054.689751752</v>
      </c>
      <c r="Q88" s="641">
        <f t="shared" si="74"/>
        <v>34550276.083406091</v>
      </c>
      <c r="R88" s="641">
        <f t="shared" si="74"/>
        <v>40500488.961919881</v>
      </c>
      <c r="S88" s="641">
        <f t="shared" si="74"/>
        <v>48584588.770054802</v>
      </c>
      <c r="T88" s="641"/>
      <c r="U88" s="641"/>
      <c r="V88" s="641"/>
      <c r="W88" s="641"/>
      <c r="X88" s="641"/>
      <c r="Y88" s="641"/>
      <c r="Z88" s="641"/>
      <c r="AA88" s="641"/>
      <c r="AB88" s="641"/>
      <c r="AC88" s="641"/>
      <c r="AD88" s="641"/>
      <c r="AE88" s="642"/>
      <c r="AF88" s="643">
        <f>MAX(E88:AE88)</f>
        <v>48584588.770054802</v>
      </c>
      <c r="AG88" s="543"/>
      <c r="AH88" s="543"/>
      <c r="AI88" s="543"/>
      <c r="AJ88" s="543"/>
      <c r="AK88" s="543"/>
      <c r="AL88" s="543"/>
      <c r="AM88" s="543"/>
      <c r="AN88" s="543"/>
      <c r="AO88" s="543"/>
      <c r="AP88" s="543"/>
      <c r="AQ88" s="543"/>
      <c r="AR88" s="543"/>
      <c r="AS88" s="543"/>
      <c r="AT88" s="543"/>
    </row>
    <row r="89" spans="1:46" ht="16" thickBot="1" x14ac:dyDescent="0.4">
      <c r="A89" s="644" t="str">
        <f>A86</f>
        <v>sh otsene mõju</v>
      </c>
      <c r="B89" s="639"/>
      <c r="C89" s="639"/>
      <c r="D89" s="597" t="s">
        <v>451</v>
      </c>
      <c r="E89" s="640">
        <f>E86</f>
        <v>0</v>
      </c>
      <c r="F89" s="640">
        <f>E89+F86</f>
        <v>-8138197.1131538451</v>
      </c>
      <c r="G89" s="640">
        <f t="shared" si="74"/>
        <v>-6666050.5303136082</v>
      </c>
      <c r="H89" s="641">
        <f t="shared" si="74"/>
        <v>-5250524.9698903039</v>
      </c>
      <c r="I89" s="641">
        <f t="shared" si="74"/>
        <v>-3889442.7002525115</v>
      </c>
      <c r="J89" s="641">
        <f t="shared" si="74"/>
        <v>-2580709.748677711</v>
      </c>
      <c r="K89" s="641">
        <f t="shared" si="74"/>
        <v>-1322312.6798557874</v>
      </c>
      <c r="L89" s="641">
        <f t="shared" si="74"/>
        <v>-112315.4982962457</v>
      </c>
      <c r="M89" s="641">
        <f t="shared" si="74"/>
        <v>1051143.3301263906</v>
      </c>
      <c r="N89" s="641">
        <f t="shared" si="74"/>
        <v>2169853.7420712332</v>
      </c>
      <c r="O89" s="641">
        <f t="shared" si="74"/>
        <v>3245536.8304797355</v>
      </c>
      <c r="P89" s="641">
        <f t="shared" si="74"/>
        <v>4279847.4924109876</v>
      </c>
      <c r="Q89" s="641">
        <f t="shared" si="74"/>
        <v>5274376.975037192</v>
      </c>
      <c r="R89" s="641">
        <f t="shared" si="74"/>
        <v>6230655.3237162344</v>
      </c>
      <c r="S89" s="641">
        <f t="shared" si="74"/>
        <v>7150153.7359076217</v>
      </c>
      <c r="T89" s="641"/>
      <c r="U89" s="641"/>
      <c r="V89" s="641"/>
      <c r="W89" s="641"/>
      <c r="X89" s="641"/>
      <c r="Y89" s="641"/>
      <c r="Z89" s="641"/>
      <c r="AA89" s="641"/>
      <c r="AB89" s="641"/>
      <c r="AC89" s="641"/>
      <c r="AD89" s="641"/>
      <c r="AE89" s="642"/>
      <c r="AF89" s="645">
        <f>MAX(E89:AE89)</f>
        <v>7150153.7359076217</v>
      </c>
      <c r="AG89" s="543"/>
      <c r="AH89" s="543"/>
      <c r="AI89" s="543"/>
      <c r="AJ89" s="543"/>
      <c r="AK89" s="543"/>
      <c r="AL89" s="543"/>
      <c r="AM89" s="543"/>
      <c r="AN89" s="543"/>
      <c r="AO89" s="543"/>
      <c r="AP89" s="543"/>
      <c r="AQ89" s="543"/>
      <c r="AR89" s="543"/>
      <c r="AS89" s="543"/>
      <c r="AT89" s="543"/>
    </row>
    <row r="90" spans="1:46" x14ac:dyDescent="0.3">
      <c r="A90" s="646"/>
      <c r="B90" s="646"/>
      <c r="C90" s="646"/>
      <c r="D90" s="647"/>
      <c r="E90" s="646"/>
      <c r="F90" s="646"/>
      <c r="G90" s="646"/>
      <c r="H90" s="648"/>
      <c r="I90" s="648"/>
      <c r="J90" s="648"/>
      <c r="K90" s="648"/>
      <c r="L90" s="648"/>
      <c r="M90" s="648"/>
      <c r="N90" s="648"/>
      <c r="O90" s="648"/>
      <c r="P90" s="648"/>
      <c r="Q90" s="648"/>
      <c r="R90" s="648"/>
      <c r="S90" s="648"/>
      <c r="T90" s="648"/>
      <c r="U90" s="648"/>
      <c r="V90" s="648"/>
      <c r="W90" s="648"/>
      <c r="X90" s="648"/>
      <c r="Y90" s="648"/>
      <c r="Z90" s="648"/>
      <c r="AA90" s="648"/>
      <c r="AB90" s="648"/>
      <c r="AC90" s="648"/>
      <c r="AD90" s="648"/>
      <c r="AE90" s="648"/>
      <c r="AF90" s="648"/>
      <c r="AG90" s="543"/>
      <c r="AH90" s="543"/>
      <c r="AI90" s="543"/>
      <c r="AJ90" s="543"/>
      <c r="AK90" s="543"/>
      <c r="AL90" s="543"/>
      <c r="AM90" s="543"/>
      <c r="AN90" s="543"/>
      <c r="AO90" s="543"/>
      <c r="AP90" s="543"/>
      <c r="AQ90" s="543"/>
      <c r="AR90" s="543"/>
      <c r="AS90" s="543"/>
      <c r="AT90" s="543"/>
    </row>
    <row r="91" spans="1:46" x14ac:dyDescent="0.3">
      <c r="A91" s="646"/>
      <c r="B91" s="646"/>
      <c r="C91" s="646"/>
      <c r="D91" s="647"/>
      <c r="E91" s="646"/>
      <c r="F91" s="646"/>
      <c r="G91" s="646"/>
      <c r="H91" s="648"/>
      <c r="I91" s="648"/>
      <c r="J91" s="648"/>
      <c r="K91" s="648"/>
      <c r="L91" s="648"/>
      <c r="M91" s="648"/>
      <c r="N91" s="648"/>
      <c r="O91" s="648"/>
      <c r="P91" s="648"/>
      <c r="Q91" s="648"/>
      <c r="R91" s="648"/>
      <c r="S91" s="648"/>
      <c r="T91" s="648"/>
      <c r="U91" s="648"/>
      <c r="V91" s="648"/>
      <c r="W91" s="648"/>
      <c r="X91" s="648"/>
      <c r="Y91" s="648"/>
      <c r="Z91" s="648"/>
      <c r="AA91" s="648"/>
      <c r="AB91" s="648"/>
      <c r="AC91" s="648"/>
      <c r="AD91" s="648"/>
      <c r="AE91" s="648"/>
      <c r="AF91" s="648"/>
      <c r="AG91" s="543"/>
      <c r="AH91" s="543"/>
      <c r="AI91" s="543"/>
      <c r="AJ91" s="543"/>
      <c r="AK91" s="543"/>
      <c r="AL91" s="543"/>
      <c r="AM91" s="543"/>
      <c r="AN91" s="543"/>
      <c r="AO91" s="543"/>
      <c r="AP91" s="543"/>
      <c r="AQ91" s="543"/>
      <c r="AR91" s="543"/>
      <c r="AS91" s="543"/>
      <c r="AT91" s="543"/>
    </row>
    <row r="92" spans="1:46" ht="16" hidden="1" thickBot="1" x14ac:dyDescent="0.4">
      <c r="A92" s="646"/>
      <c r="B92" s="1049" t="s">
        <v>90</v>
      </c>
      <c r="C92" s="1050"/>
      <c r="D92" s="1053" t="s">
        <v>466</v>
      </c>
      <c r="E92" s="1053"/>
      <c r="F92" s="1053"/>
      <c r="G92" s="1054"/>
      <c r="H92" s="648"/>
      <c r="I92" s="648"/>
      <c r="J92" s="648"/>
      <c r="K92" s="648"/>
      <c r="L92" s="648"/>
      <c r="M92" s="648"/>
      <c r="N92" s="648"/>
      <c r="O92" s="648"/>
      <c r="P92" s="648"/>
      <c r="Q92" s="648"/>
      <c r="R92" s="648"/>
      <c r="S92" s="648"/>
      <c r="T92" s="648"/>
      <c r="U92" s="648"/>
      <c r="V92" s="648"/>
      <c r="W92" s="648"/>
      <c r="X92" s="648"/>
      <c r="Y92" s="648"/>
      <c r="Z92" s="648"/>
      <c r="AA92" s="648"/>
      <c r="AB92" s="648"/>
      <c r="AC92" s="648"/>
      <c r="AD92" s="648"/>
      <c r="AE92" s="648"/>
      <c r="AF92" s="648"/>
      <c r="AG92" s="543"/>
      <c r="AH92" s="543"/>
      <c r="AI92" s="543"/>
      <c r="AJ92" s="543"/>
      <c r="AK92" s="543"/>
      <c r="AL92" s="543"/>
      <c r="AM92" s="543"/>
      <c r="AN92" s="543"/>
      <c r="AO92" s="543"/>
      <c r="AP92" s="543"/>
      <c r="AQ92" s="543"/>
      <c r="AR92" s="543"/>
      <c r="AS92" s="543"/>
      <c r="AT92" s="543"/>
    </row>
    <row r="93" spans="1:46" ht="50.25" hidden="1" customHeight="1" thickBot="1" x14ac:dyDescent="0.4">
      <c r="A93" s="649"/>
      <c r="B93" s="1051"/>
      <c r="C93" s="1052"/>
      <c r="D93" s="1055" t="s">
        <v>467</v>
      </c>
      <c r="E93" s="1055"/>
      <c r="F93" s="1056" t="s">
        <v>468</v>
      </c>
      <c r="G93" s="1057"/>
      <c r="H93" s="1058"/>
      <c r="I93" s="105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543"/>
      <c r="AH93" s="543"/>
      <c r="AI93" s="543"/>
      <c r="AJ93" s="543"/>
      <c r="AK93" s="543"/>
      <c r="AL93" s="543"/>
      <c r="AM93" s="543"/>
      <c r="AN93" s="543"/>
      <c r="AO93" s="543"/>
      <c r="AP93" s="543"/>
      <c r="AQ93" s="543"/>
      <c r="AR93" s="543"/>
      <c r="AS93" s="543"/>
      <c r="AT93" s="543"/>
    </row>
    <row r="94" spans="1:46" ht="15.5" hidden="1" x14ac:dyDescent="0.35">
      <c r="A94" s="646"/>
      <c r="B94" s="1060" t="s">
        <v>469</v>
      </c>
      <c r="C94" s="1061"/>
      <c r="D94" s="650">
        <f>AF89</f>
        <v>7150153.7359076217</v>
      </c>
      <c r="E94" s="651" t="s">
        <v>470</v>
      </c>
      <c r="F94" s="652">
        <f>AF88</f>
        <v>48584588.770054802</v>
      </c>
      <c r="G94" s="651" t="str">
        <f>E94</f>
        <v>mln eurot</v>
      </c>
      <c r="H94" s="653"/>
      <c r="I94" s="654">
        <f>D96/4%</f>
        <v>4.0290191485989721</v>
      </c>
      <c r="J94" s="654">
        <f>F96/4%</f>
        <v>9.13705740623511</v>
      </c>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543"/>
      <c r="AH94" s="543"/>
      <c r="AI94" s="543"/>
      <c r="AJ94" s="543"/>
      <c r="AK94" s="543"/>
      <c r="AL94" s="543"/>
      <c r="AM94" s="543"/>
      <c r="AN94" s="543"/>
      <c r="AO94" s="543"/>
      <c r="AP94" s="543"/>
      <c r="AQ94" s="543"/>
      <c r="AR94" s="543"/>
      <c r="AS94" s="543"/>
      <c r="AT94" s="543"/>
    </row>
    <row r="95" spans="1:46" ht="15.5" hidden="1" x14ac:dyDescent="0.35">
      <c r="A95" s="646"/>
      <c r="B95" s="1062" t="s">
        <v>471</v>
      </c>
      <c r="C95" s="1063"/>
      <c r="D95" s="655">
        <f>AF83/AF80</f>
        <v>1.8785918596578051</v>
      </c>
      <c r="E95" s="656"/>
      <c r="F95" s="657">
        <f>AF82/AF80</f>
        <v>6.9699449515086194</v>
      </c>
      <c r="G95" s="656"/>
      <c r="H95" s="653"/>
      <c r="I95" s="658"/>
      <c r="J95" s="648"/>
      <c r="K95" s="648"/>
      <c r="L95" s="648"/>
      <c r="M95" s="648"/>
      <c r="N95" s="648"/>
      <c r="O95" s="648"/>
      <c r="P95" s="648"/>
      <c r="Q95" s="648"/>
      <c r="R95" s="648"/>
      <c r="S95" s="648"/>
      <c r="T95" s="648"/>
      <c r="U95" s="648"/>
      <c r="V95" s="648"/>
      <c r="W95" s="648"/>
      <c r="X95" s="648"/>
      <c r="Y95" s="648"/>
      <c r="Z95" s="648"/>
      <c r="AA95" s="648"/>
      <c r="AB95" s="648"/>
      <c r="AC95" s="648"/>
      <c r="AD95" s="648"/>
      <c r="AE95" s="648"/>
      <c r="AF95" s="648"/>
      <c r="AG95" s="543"/>
      <c r="AH95" s="543"/>
      <c r="AI95" s="543"/>
      <c r="AJ95" s="543"/>
      <c r="AK95" s="543"/>
      <c r="AL95" s="543"/>
      <c r="AM95" s="543"/>
      <c r="AN95" s="543"/>
      <c r="AO95" s="543"/>
      <c r="AP95" s="543"/>
      <c r="AQ95" s="543"/>
      <c r="AR95" s="543"/>
      <c r="AS95" s="543"/>
      <c r="AT95" s="543"/>
    </row>
    <row r="96" spans="1:46" ht="15.5" hidden="1" x14ac:dyDescent="0.35">
      <c r="A96" s="646"/>
      <c r="B96" s="1062" t="s">
        <v>472</v>
      </c>
      <c r="C96" s="1063"/>
      <c r="D96" s="659">
        <f>IRR(E72:AE72)</f>
        <v>0.16116076594395889</v>
      </c>
      <c r="E96" s="656"/>
      <c r="F96" s="660">
        <f>IRR(E71:AE71)</f>
        <v>0.36548229624940443</v>
      </c>
      <c r="G96" s="656"/>
      <c r="H96" s="653"/>
      <c r="I96" s="658"/>
      <c r="L96" s="648"/>
      <c r="M96" s="648"/>
      <c r="N96" s="648"/>
      <c r="O96" s="648"/>
      <c r="P96" s="648"/>
      <c r="Q96" s="648"/>
      <c r="R96" s="648"/>
      <c r="S96" s="648"/>
      <c r="T96" s="648"/>
      <c r="U96" s="648"/>
      <c r="V96" s="648"/>
      <c r="W96" s="648"/>
      <c r="X96" s="648"/>
      <c r="Y96" s="648"/>
      <c r="Z96" s="648"/>
      <c r="AA96" s="648"/>
      <c r="AB96" s="648"/>
      <c r="AC96" s="648"/>
      <c r="AD96" s="648"/>
      <c r="AE96" s="648"/>
      <c r="AF96" s="648"/>
      <c r="AG96" s="543"/>
      <c r="AH96" s="543"/>
      <c r="AI96" s="543"/>
      <c r="AJ96" s="543"/>
      <c r="AK96" s="543"/>
      <c r="AL96" s="543"/>
      <c r="AM96" s="543"/>
      <c r="AN96" s="543"/>
      <c r="AO96" s="543"/>
      <c r="AP96" s="543"/>
      <c r="AQ96" s="543"/>
      <c r="AR96" s="543"/>
      <c r="AS96" s="543"/>
      <c r="AT96" s="543"/>
    </row>
    <row r="97" spans="1:46" ht="16" hidden="1" thickBot="1" x14ac:dyDescent="0.4">
      <c r="A97" s="646"/>
      <c r="B97" s="1064" t="s">
        <v>473</v>
      </c>
      <c r="C97" s="1065"/>
      <c r="D97" s="661">
        <f>COUNTIF(E89:AE89,"&lt;0")</f>
        <v>7</v>
      </c>
      <c r="E97" s="662" t="s">
        <v>474</v>
      </c>
      <c r="F97" s="663">
        <f>COUNTIF(E88:AE88,"&lt;0")</f>
        <v>5</v>
      </c>
      <c r="G97" s="662" t="s">
        <v>474</v>
      </c>
      <c r="H97" s="664"/>
      <c r="I97" s="65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543"/>
      <c r="AH97" s="543"/>
      <c r="AI97" s="543"/>
      <c r="AJ97" s="543"/>
      <c r="AK97" s="543"/>
      <c r="AL97" s="543"/>
      <c r="AM97" s="543"/>
      <c r="AN97" s="543"/>
      <c r="AO97" s="543"/>
      <c r="AP97" s="543"/>
      <c r="AQ97" s="543"/>
      <c r="AR97" s="543"/>
      <c r="AS97" s="543"/>
      <c r="AT97" s="543"/>
    </row>
    <row r="98" spans="1:46" x14ac:dyDescent="0.3">
      <c r="AG98" s="543"/>
      <c r="AH98" s="543"/>
      <c r="AI98" s="543"/>
      <c r="AJ98" s="543"/>
      <c r="AK98" s="543"/>
      <c r="AL98" s="543"/>
      <c r="AM98" s="543"/>
      <c r="AN98" s="543"/>
      <c r="AO98" s="543"/>
      <c r="AP98" s="543"/>
      <c r="AQ98" s="543"/>
      <c r="AR98" s="543"/>
      <c r="AS98" s="543"/>
      <c r="AT98" s="543"/>
    </row>
    <row r="99" spans="1:46" x14ac:dyDescent="0.3">
      <c r="AG99" s="543"/>
      <c r="AH99" s="543"/>
      <c r="AI99" s="543"/>
      <c r="AJ99" s="543"/>
      <c r="AK99" s="543"/>
      <c r="AL99" s="543"/>
      <c r="AM99" s="543"/>
      <c r="AN99" s="543"/>
      <c r="AO99" s="543"/>
      <c r="AP99" s="543"/>
      <c r="AQ99" s="543"/>
      <c r="AR99" s="543"/>
      <c r="AS99" s="543"/>
      <c r="AT99" s="543"/>
    </row>
    <row r="100" spans="1:46" x14ac:dyDescent="0.3">
      <c r="J100" s="621">
        <f>D96/4%</f>
        <v>4.0290191485989721</v>
      </c>
      <c r="K100" s="621">
        <f>F96/0.04</f>
        <v>9.13705740623511</v>
      </c>
      <c r="AG100" s="543"/>
      <c r="AH100" s="543"/>
      <c r="AI100" s="543"/>
      <c r="AJ100" s="543"/>
      <c r="AK100" s="543"/>
      <c r="AL100" s="543"/>
      <c r="AM100" s="543"/>
      <c r="AN100" s="543"/>
      <c r="AO100" s="543"/>
      <c r="AP100" s="543"/>
      <c r="AQ100" s="543"/>
      <c r="AR100" s="543"/>
      <c r="AS100" s="543"/>
      <c r="AT100" s="543"/>
    </row>
    <row r="101" spans="1:46" hidden="1" x14ac:dyDescent="0.3">
      <c r="A101" s="543" t="s">
        <v>475</v>
      </c>
      <c r="AG101" s="543"/>
      <c r="AH101" s="543"/>
      <c r="AI101" s="543"/>
      <c r="AJ101" s="543"/>
      <c r="AK101" s="543"/>
      <c r="AL101" s="543"/>
      <c r="AM101" s="543"/>
      <c r="AN101" s="543"/>
      <c r="AO101" s="543"/>
      <c r="AP101" s="543"/>
      <c r="AQ101" s="543"/>
      <c r="AR101" s="543"/>
      <c r="AS101" s="543"/>
      <c r="AT101" s="543"/>
    </row>
    <row r="102" spans="1:46" ht="14.5" hidden="1" thickBot="1" x14ac:dyDescent="0.35">
      <c r="AG102" s="543"/>
      <c r="AH102" s="543"/>
      <c r="AI102" s="543"/>
      <c r="AJ102" s="543"/>
      <c r="AK102" s="543"/>
      <c r="AL102" s="1066" t="str">
        <f>D93</f>
        <v>A. Otsene mõju</v>
      </c>
      <c r="AM102" s="1067"/>
      <c r="AN102" s="1066" t="str">
        <f>F93</f>
        <v>B. Otsene + kaudne mõju</v>
      </c>
      <c r="AO102" s="1067"/>
      <c r="AP102" s="1059"/>
      <c r="AQ102" s="1059"/>
      <c r="AR102" s="1059"/>
      <c r="AS102" s="1059"/>
      <c r="AT102" s="543"/>
    </row>
    <row r="103" spans="1:46" ht="33" hidden="1" customHeight="1" x14ac:dyDescent="0.3">
      <c r="AG103" s="543"/>
      <c r="AH103" s="543"/>
      <c r="AI103" s="543"/>
      <c r="AJ103" s="543"/>
      <c r="AK103" s="665" t="s">
        <v>476</v>
      </c>
      <c r="AL103" s="666">
        <f>AF19</f>
        <v>20699558.672000002</v>
      </c>
      <c r="AM103" s="667" t="str">
        <f>E94</f>
        <v>mln eurot</v>
      </c>
      <c r="AN103" s="666">
        <f>AF42</f>
        <v>83791506.228895992</v>
      </c>
      <c r="AO103" s="667" t="str">
        <f>AM103</f>
        <v>mln eurot</v>
      </c>
      <c r="AP103" s="668"/>
      <c r="AQ103" s="543"/>
      <c r="AR103" s="669"/>
      <c r="AS103" s="543"/>
      <c r="AT103" s="543"/>
    </row>
    <row r="104" spans="1:46" ht="33" hidden="1" customHeight="1" x14ac:dyDescent="0.3">
      <c r="AG104" s="543"/>
      <c r="AH104" s="543"/>
      <c r="AI104" s="543"/>
      <c r="AJ104" s="543"/>
      <c r="AK104" s="670" t="s">
        <v>477</v>
      </c>
      <c r="AL104" s="671">
        <f>AF10</f>
        <v>193392160</v>
      </c>
      <c r="AM104" s="672" t="str">
        <f>E94</f>
        <v>mln eurot</v>
      </c>
      <c r="AN104" s="671">
        <f>AF10</f>
        <v>193392160</v>
      </c>
      <c r="AO104" s="672" t="str">
        <f>AM104</f>
        <v>mln eurot</v>
      </c>
      <c r="AP104" s="668"/>
      <c r="AQ104" s="543"/>
      <c r="AR104" s="669"/>
      <c r="AS104" s="543"/>
      <c r="AT104" s="543"/>
    </row>
    <row r="105" spans="1:46" ht="33" hidden="1" customHeight="1" x14ac:dyDescent="0.3">
      <c r="D105" s="543"/>
      <c r="AG105" s="543"/>
      <c r="AH105" s="543"/>
      <c r="AI105" s="543"/>
      <c r="AJ105" s="543"/>
      <c r="AK105" s="673" t="s">
        <v>478</v>
      </c>
      <c r="AL105" s="674">
        <f>[6]Link!I127</f>
        <v>12697303.870000001</v>
      </c>
      <c r="AM105" s="675" t="str">
        <f>AM104</f>
        <v>mln eurot</v>
      </c>
      <c r="AN105" s="674">
        <f>'[7]Общественное влияние'!Q65</f>
        <v>10442103.870000001</v>
      </c>
      <c r="AO105" s="672" t="str">
        <f>AO104</f>
        <v>mln eurot</v>
      </c>
      <c r="AP105" s="668"/>
      <c r="AQ105" s="543"/>
      <c r="AR105" s="669"/>
      <c r="AS105" s="543"/>
      <c r="AT105" s="543"/>
    </row>
    <row r="106" spans="1:46" ht="33" hidden="1" customHeight="1" x14ac:dyDescent="0.3">
      <c r="D106" s="543"/>
      <c r="AG106" s="543"/>
      <c r="AH106" s="543"/>
      <c r="AI106" s="543"/>
      <c r="AJ106" s="543"/>
      <c r="AK106" s="673" t="s">
        <v>479</v>
      </c>
      <c r="AL106" s="676">
        <f>AF12</f>
        <v>109</v>
      </c>
      <c r="AM106" s="675" t="str">
        <f>AM107</f>
        <v>чел.</v>
      </c>
      <c r="AN106" s="676">
        <f>AF49</f>
        <v>109</v>
      </c>
      <c r="AO106" s="675" t="str">
        <f>AO107</f>
        <v>чел.</v>
      </c>
      <c r="AP106" s="677"/>
      <c r="AQ106" s="543"/>
      <c r="AR106" s="669"/>
      <c r="AS106" s="543"/>
      <c r="AT106" s="543"/>
    </row>
    <row r="107" spans="1:46" ht="33" hidden="1" customHeight="1" thickBot="1" x14ac:dyDescent="0.35">
      <c r="D107" s="543"/>
      <c r="AG107" s="543"/>
      <c r="AH107" s="543"/>
      <c r="AI107" s="543"/>
      <c r="AJ107" s="543"/>
      <c r="AK107" s="678" t="s">
        <v>480</v>
      </c>
      <c r="AL107" s="679"/>
      <c r="AM107" s="680" t="s">
        <v>481</v>
      </c>
      <c r="AN107" s="679">
        <f>AF50</f>
        <v>719.4</v>
      </c>
      <c r="AO107" s="680" t="str">
        <f>AM107</f>
        <v>чел.</v>
      </c>
      <c r="AP107" s="681"/>
      <c r="AQ107" s="543"/>
      <c r="AR107" s="669"/>
      <c r="AS107" s="543"/>
      <c r="AT107" s="543"/>
    </row>
    <row r="108" spans="1:46" ht="33" hidden="1" customHeight="1" x14ac:dyDescent="0.3">
      <c r="D108" s="543"/>
      <c r="AG108" s="543"/>
      <c r="AH108" s="543"/>
      <c r="AI108" s="543"/>
      <c r="AJ108" s="543"/>
      <c r="AK108" s="543"/>
      <c r="AL108" s="543"/>
      <c r="AM108" s="543"/>
      <c r="AN108" s="543"/>
      <c r="AO108" s="543"/>
      <c r="AP108" s="681"/>
      <c r="AQ108" s="543"/>
      <c r="AR108" s="669"/>
      <c r="AS108" s="543"/>
      <c r="AT108" s="543"/>
    </row>
    <row r="109" spans="1:46" hidden="1" x14ac:dyDescent="0.3">
      <c r="AG109" s="543"/>
      <c r="AH109" s="543"/>
      <c r="AI109" s="543"/>
      <c r="AJ109" s="543"/>
      <c r="AK109" s="543"/>
      <c r="AL109" s="543"/>
      <c r="AM109" s="543"/>
      <c r="AN109" s="543"/>
      <c r="AO109" s="543"/>
      <c r="AP109" s="543"/>
      <c r="AQ109" s="543"/>
      <c r="AR109" s="543"/>
      <c r="AS109" s="543"/>
      <c r="AT109" s="543"/>
    </row>
    <row r="110" spans="1:46" hidden="1" x14ac:dyDescent="0.3">
      <c r="AG110" s="543"/>
      <c r="AH110" s="543"/>
      <c r="AI110" s="543"/>
      <c r="AJ110" s="543"/>
      <c r="AK110" s="543"/>
      <c r="AL110" s="543"/>
      <c r="AM110" s="543"/>
      <c r="AN110" s="543"/>
      <c r="AO110" s="543"/>
      <c r="AP110" s="543"/>
      <c r="AQ110" s="543"/>
      <c r="AR110" s="543"/>
      <c r="AS110" s="543"/>
      <c r="AT110" s="543"/>
    </row>
    <row r="111" spans="1:46" x14ac:dyDescent="0.3">
      <c r="AG111" s="543"/>
      <c r="AH111" s="543"/>
      <c r="AI111" s="543"/>
      <c r="AJ111" s="543"/>
      <c r="AP111" s="543"/>
      <c r="AQ111" s="543"/>
      <c r="AR111" s="543"/>
      <c r="AS111" s="543"/>
      <c r="AT111" s="543"/>
    </row>
    <row r="112" spans="1:46" x14ac:dyDescent="0.3">
      <c r="A112" s="682"/>
      <c r="G112" s="626"/>
      <c r="H112" s="626"/>
      <c r="I112" s="626"/>
      <c r="J112" s="626"/>
      <c r="K112" s="626"/>
      <c r="L112" s="626"/>
      <c r="M112" s="626"/>
      <c r="N112" s="626"/>
      <c r="O112" s="626"/>
      <c r="P112" s="626"/>
      <c r="Q112" s="626"/>
      <c r="R112" s="626"/>
      <c r="S112" s="626"/>
      <c r="T112" s="626"/>
      <c r="U112" s="626"/>
      <c r="V112" s="626"/>
      <c r="W112" s="626"/>
      <c r="X112" s="626"/>
      <c r="Y112" s="626"/>
      <c r="Z112" s="626"/>
      <c r="AA112" s="626"/>
      <c r="AB112" s="626"/>
      <c r="AC112" s="626"/>
      <c r="AD112" s="626"/>
      <c r="AE112" s="626"/>
    </row>
    <row r="113" spans="1:31" x14ac:dyDescent="0.3">
      <c r="A113" s="683"/>
      <c r="H113" s="626"/>
      <c r="I113" s="626"/>
      <c r="J113" s="626"/>
      <c r="K113" s="626"/>
      <c r="L113" s="626"/>
      <c r="M113" s="626"/>
      <c r="N113" s="626"/>
      <c r="O113" s="626"/>
      <c r="P113" s="626"/>
      <c r="Q113" s="626"/>
      <c r="R113" s="626"/>
      <c r="S113" s="626"/>
      <c r="T113" s="626"/>
      <c r="U113" s="626"/>
      <c r="V113" s="626"/>
      <c r="W113" s="626"/>
      <c r="X113" s="626"/>
      <c r="Y113" s="626"/>
      <c r="Z113" s="626"/>
      <c r="AA113" s="626"/>
      <c r="AB113" s="626"/>
      <c r="AC113" s="626"/>
      <c r="AD113" s="626"/>
      <c r="AE113" s="626"/>
    </row>
  </sheetData>
  <mergeCells count="14">
    <mergeCell ref="AP102:AS102"/>
    <mergeCell ref="B94:C94"/>
    <mergeCell ref="B95:C95"/>
    <mergeCell ref="B96:C96"/>
    <mergeCell ref="B97:C97"/>
    <mergeCell ref="AL102:AM102"/>
    <mergeCell ref="AN102:AO102"/>
    <mergeCell ref="AH2:AK2"/>
    <mergeCell ref="B3:C3"/>
    <mergeCell ref="B92:C93"/>
    <mergeCell ref="D92:G92"/>
    <mergeCell ref="D93:E93"/>
    <mergeCell ref="F93:G93"/>
    <mergeCell ref="H93:I93"/>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85" zoomScaleNormal="85" workbookViewId="0">
      <selection activeCell="L59" sqref="L59"/>
    </sheetView>
  </sheetViews>
  <sheetFormatPr defaultColWidth="9.1796875" defaultRowHeight="14.5" x14ac:dyDescent="0.35"/>
  <cols>
    <col min="1" max="1" width="37.1796875" style="731" customWidth="1"/>
    <col min="2" max="2" width="12" style="731" hidden="1" customWidth="1"/>
    <col min="3" max="3" width="20" style="731" customWidth="1"/>
    <col min="4" max="4" width="18.453125" style="731" customWidth="1"/>
    <col min="5" max="5" width="16" style="731" customWidth="1"/>
    <col min="6" max="6" width="15.7265625" style="731" customWidth="1"/>
    <col min="7" max="7" width="13.54296875" style="731" customWidth="1"/>
    <col min="8" max="16384" width="9.1796875" style="731"/>
  </cols>
  <sheetData>
    <row r="1" spans="1:9" x14ac:dyDescent="0.35">
      <c r="A1" s="732" t="s">
        <v>632</v>
      </c>
    </row>
    <row r="3" spans="1:9" hidden="1" x14ac:dyDescent="0.35">
      <c r="A3" s="732"/>
      <c r="C3" s="733"/>
      <c r="D3" s="733"/>
      <c r="E3" s="733"/>
      <c r="F3" s="733"/>
      <c r="G3" s="733"/>
    </row>
    <row r="4" spans="1:9" hidden="1" x14ac:dyDescent="0.35"/>
    <row r="5" spans="1:9" ht="15" hidden="1" customHeight="1" x14ac:dyDescent="0.35">
      <c r="A5" s="732"/>
      <c r="H5" s="734"/>
      <c r="I5" s="734"/>
    </row>
    <row r="6" spans="1:9" hidden="1" x14ac:dyDescent="0.35">
      <c r="H6" s="734"/>
      <c r="I6" s="734"/>
    </row>
    <row r="7" spans="1:9" hidden="1" x14ac:dyDescent="0.35">
      <c r="A7" s="736"/>
      <c r="B7" s="736"/>
      <c r="C7" s="736"/>
      <c r="H7" s="734"/>
      <c r="I7" s="734"/>
    </row>
    <row r="8" spans="1:9" hidden="1" x14ac:dyDescent="0.35"/>
    <row r="9" spans="1:9" hidden="1" x14ac:dyDescent="0.35"/>
    <row r="10" spans="1:9" hidden="1" x14ac:dyDescent="0.35"/>
    <row r="11" spans="1:9" hidden="1" x14ac:dyDescent="0.35"/>
    <row r="12" spans="1:9" hidden="1" x14ac:dyDescent="0.35">
      <c r="A12" s="737"/>
      <c r="B12" s="737"/>
      <c r="C12" s="737"/>
    </row>
    <row r="13" spans="1:9" hidden="1" x14ac:dyDescent="0.35">
      <c r="A13" s="738"/>
      <c r="B13" s="739"/>
      <c r="C13" s="739"/>
    </row>
    <row r="14" spans="1:9" hidden="1" x14ac:dyDescent="0.35">
      <c r="A14" s="738"/>
      <c r="B14" s="739"/>
      <c r="C14" s="739"/>
    </row>
    <row r="15" spans="1:9" hidden="1" x14ac:dyDescent="0.35">
      <c r="A15" s="738"/>
      <c r="B15" s="739"/>
      <c r="C15" s="739"/>
    </row>
    <row r="16" spans="1:9" ht="29.25" hidden="1" customHeight="1" x14ac:dyDescent="0.35">
      <c r="A16" s="740"/>
      <c r="B16" s="741"/>
      <c r="C16" s="739"/>
    </row>
    <row r="17" spans="1:4" hidden="1" x14ac:dyDescent="0.35"/>
    <row r="18" spans="1:4" hidden="1" x14ac:dyDescent="0.35">
      <c r="A18" s="732"/>
    </row>
    <row r="19" spans="1:4" hidden="1" x14ac:dyDescent="0.35"/>
    <row r="20" spans="1:4" hidden="1" x14ac:dyDescent="0.35">
      <c r="A20" s="736"/>
      <c r="B20" s="736"/>
      <c r="C20" s="736"/>
      <c r="D20" s="742"/>
    </row>
    <row r="21" spans="1:4" hidden="1" x14ac:dyDescent="0.35">
      <c r="D21" s="743"/>
    </row>
    <row r="22" spans="1:4" hidden="1" x14ac:dyDescent="0.35">
      <c r="D22" s="743"/>
    </row>
    <row r="23" spans="1:4" hidden="1" x14ac:dyDescent="0.35">
      <c r="D23" s="743"/>
    </row>
    <row r="24" spans="1:4" hidden="1" x14ac:dyDescent="0.35"/>
    <row r="25" spans="1:4" hidden="1" x14ac:dyDescent="0.35"/>
    <row r="26" spans="1:4" hidden="1" x14ac:dyDescent="0.35">
      <c r="A26" s="738"/>
      <c r="B26" s="739"/>
      <c r="C26" s="739"/>
    </row>
    <row r="27" spans="1:4" hidden="1" x14ac:dyDescent="0.35">
      <c r="A27" s="738"/>
      <c r="B27" s="739"/>
      <c r="C27" s="739"/>
    </row>
    <row r="28" spans="1:4" hidden="1" x14ac:dyDescent="0.35">
      <c r="A28" s="738"/>
      <c r="B28" s="739"/>
      <c r="C28" s="739"/>
    </row>
    <row r="29" spans="1:4" hidden="1" x14ac:dyDescent="0.35">
      <c r="A29" s="732"/>
      <c r="B29" s="739"/>
      <c r="C29" s="739"/>
      <c r="D29" s="739"/>
    </row>
    <row r="30" spans="1:4" hidden="1" x14ac:dyDescent="0.35">
      <c r="A30" s="738"/>
      <c r="B30" s="739"/>
      <c r="C30" s="739"/>
    </row>
    <row r="31" spans="1:4" hidden="1" x14ac:dyDescent="0.35">
      <c r="A31" s="736"/>
      <c r="B31" s="736"/>
      <c r="C31" s="736"/>
    </row>
    <row r="32" spans="1:4" hidden="1" x14ac:dyDescent="0.35">
      <c r="B32" s="739"/>
      <c r="C32" s="739"/>
    </row>
    <row r="33" spans="1:11" hidden="1" x14ac:dyDescent="0.35">
      <c r="A33" s="738"/>
      <c r="B33" s="739"/>
      <c r="C33" s="739"/>
    </row>
    <row r="34" spans="1:11" hidden="1" x14ac:dyDescent="0.35"/>
    <row r="35" spans="1:11" hidden="1" x14ac:dyDescent="0.35">
      <c r="A35" s="738"/>
      <c r="B35" s="739"/>
      <c r="C35" s="739"/>
    </row>
    <row r="36" spans="1:11" hidden="1" x14ac:dyDescent="0.35">
      <c r="A36" s="738"/>
      <c r="B36" s="739"/>
      <c r="C36" s="739"/>
    </row>
    <row r="37" spans="1:11" hidden="1" x14ac:dyDescent="0.35"/>
    <row r="38" spans="1:11" ht="15" hidden="1" customHeight="1" x14ac:dyDescent="0.35">
      <c r="A38" s="732"/>
    </row>
    <row r="39" spans="1:11" ht="50.25" hidden="1" customHeight="1" x14ac:dyDescent="0.35">
      <c r="B39" s="744"/>
      <c r="C39" s="745"/>
      <c r="D39" s="745"/>
      <c r="E39" s="745"/>
      <c r="F39" s="745"/>
    </row>
    <row r="40" spans="1:11" hidden="1" x14ac:dyDescent="0.35">
      <c r="F40" s="733"/>
    </row>
    <row r="41" spans="1:11" hidden="1" x14ac:dyDescent="0.35">
      <c r="A41" s="746"/>
      <c r="F41" s="733"/>
    </row>
    <row r="42" spans="1:11" hidden="1" x14ac:dyDescent="0.35">
      <c r="F42" s="733"/>
    </row>
    <row r="43" spans="1:11" hidden="1" x14ac:dyDescent="0.35">
      <c r="E43" s="733"/>
      <c r="F43" s="747"/>
    </row>
    <row r="44" spans="1:11" hidden="1" x14ac:dyDescent="0.35">
      <c r="A44" s="738"/>
      <c r="B44" s="739"/>
      <c r="F44" s="748"/>
    </row>
    <row r="45" spans="1:11" hidden="1" x14ac:dyDescent="0.35">
      <c r="A45" s="738"/>
      <c r="B45" s="739"/>
      <c r="F45" s="748"/>
    </row>
    <row r="46" spans="1:11" hidden="1" x14ac:dyDescent="0.35">
      <c r="C46" s="733"/>
    </row>
    <row r="47" spans="1:11" hidden="1" x14ac:dyDescent="0.35">
      <c r="C47" s="733"/>
      <c r="I47" s="735"/>
      <c r="J47" s="735"/>
      <c r="K47" s="735"/>
    </row>
    <row r="48" spans="1:11" hidden="1" x14ac:dyDescent="0.35">
      <c r="A48" s="749"/>
      <c r="B48" s="750"/>
      <c r="C48" s="751"/>
      <c r="D48" s="751"/>
      <c r="E48" s="751"/>
      <c r="F48" s="751"/>
      <c r="G48" s="751"/>
      <c r="I48" s="752"/>
      <c r="J48" s="752"/>
    </row>
    <row r="49" spans="1:10" x14ac:dyDescent="0.35">
      <c r="A49" s="753"/>
      <c r="B49"/>
      <c r="C49" s="754"/>
      <c r="D49" s="754"/>
      <c r="E49" s="754"/>
      <c r="F49"/>
      <c r="G49"/>
    </row>
    <row r="50" spans="1:10" x14ac:dyDescent="0.35">
      <c r="A50" s="753" t="s">
        <v>624</v>
      </c>
      <c r="B50"/>
      <c r="C50" s="754"/>
      <c r="D50" s="754"/>
      <c r="E50" s="754"/>
      <c r="F50"/>
      <c r="G50"/>
    </row>
    <row r="51" spans="1:10" ht="29" x14ac:dyDescent="0.35">
      <c r="A51" s="755"/>
      <c r="B51" s="756"/>
      <c r="C51" s="757" t="s">
        <v>625</v>
      </c>
      <c r="D51" s="756" t="s">
        <v>626</v>
      </c>
      <c r="E51" s="756"/>
      <c r="F51" s="756" t="s">
        <v>627</v>
      </c>
      <c r="G51" s="756"/>
    </row>
    <row r="52" spans="1:10" x14ac:dyDescent="0.35">
      <c r="A52" s="758" t="s">
        <v>620</v>
      </c>
      <c r="B52" s="758"/>
      <c r="C52" s="892">
        <f>SUM(C53:C56)</f>
        <v>744.00000000000011</v>
      </c>
      <c r="D52" s="892">
        <f>SUM(D53:D56)</f>
        <v>275.29999999999995</v>
      </c>
      <c r="E52" s="893">
        <f t="shared" ref="E52:E55" si="0">D52/C52</f>
        <v>0.37002688172042997</v>
      </c>
      <c r="F52" s="892">
        <f>C52-D52</f>
        <v>468.70000000000016</v>
      </c>
      <c r="G52" s="894">
        <f>F52/C52</f>
        <v>0.62997311827957003</v>
      </c>
      <c r="H52" s="759"/>
    </row>
    <row r="53" spans="1:10" ht="15" customHeight="1" x14ac:dyDescent="0.35">
      <c r="A53" s="760" t="s">
        <v>621</v>
      </c>
      <c r="B53" s="755"/>
      <c r="C53" s="761">
        <v>265.20000000000005</v>
      </c>
      <c r="D53" s="766">
        <v>162</v>
      </c>
      <c r="E53" s="895">
        <f t="shared" si="0"/>
        <v>0.61085972850678727</v>
      </c>
      <c r="F53" s="761">
        <f t="shared" ref="F53:F55" si="1">C53-D53</f>
        <v>103.20000000000005</v>
      </c>
      <c r="G53" s="896">
        <f t="shared" ref="G53:G55" si="2">F53/C53</f>
        <v>0.38914027149321279</v>
      </c>
    </row>
    <row r="54" spans="1:10" x14ac:dyDescent="0.35">
      <c r="A54" s="760" t="s">
        <v>622</v>
      </c>
      <c r="B54" s="755"/>
      <c r="C54" s="761">
        <v>268.70000000000005</v>
      </c>
      <c r="D54" s="766">
        <v>113.29999999999998</v>
      </c>
      <c r="E54" s="895">
        <f t="shared" si="0"/>
        <v>0.4216598436918495</v>
      </c>
      <c r="F54" s="761">
        <f t="shared" si="1"/>
        <v>155.40000000000006</v>
      </c>
      <c r="G54" s="896">
        <f t="shared" si="2"/>
        <v>0.5783401563081505</v>
      </c>
    </row>
    <row r="55" spans="1:10" x14ac:dyDescent="0.35">
      <c r="A55" s="760" t="s">
        <v>623</v>
      </c>
      <c r="B55" s="755"/>
      <c r="C55" s="897">
        <v>210.1</v>
      </c>
      <c r="D55" s="766"/>
      <c r="E55" s="895">
        <f t="shared" si="0"/>
        <v>0</v>
      </c>
      <c r="F55" s="761">
        <f t="shared" si="1"/>
        <v>210.1</v>
      </c>
      <c r="G55" s="896">
        <f t="shared" si="2"/>
        <v>1</v>
      </c>
    </row>
    <row r="56" spans="1:10" x14ac:dyDescent="0.35">
      <c r="A56" s="760"/>
      <c r="B56" s="755"/>
      <c r="C56" s="897"/>
      <c r="D56" s="755"/>
      <c r="E56" s="895"/>
      <c r="F56" s="761"/>
      <c r="G56" s="896"/>
    </row>
    <row r="57" spans="1:10" x14ac:dyDescent="0.35">
      <c r="A57" s="758" t="s">
        <v>279</v>
      </c>
      <c r="B57" s="758"/>
      <c r="C57" s="892">
        <v>5892.9000000000033</v>
      </c>
      <c r="D57" s="892">
        <v>5892.9000000000033</v>
      </c>
      <c r="E57" s="893">
        <f>[3]Помещения!E56</f>
        <v>0</v>
      </c>
      <c r="F57" s="892">
        <f t="shared" ref="F57:F58" si="3">C57-D57</f>
        <v>0</v>
      </c>
      <c r="G57" s="898">
        <f t="shared" ref="G57:G58" si="4">F57/C57</f>
        <v>0</v>
      </c>
    </row>
    <row r="58" spans="1:10" x14ac:dyDescent="0.35">
      <c r="A58" s="762" t="s">
        <v>319</v>
      </c>
      <c r="B58" s="763"/>
      <c r="C58" s="764">
        <f>C52+C57</f>
        <v>6636.9000000000033</v>
      </c>
      <c r="D58" s="764">
        <f>D52+D57</f>
        <v>6168.2000000000035</v>
      </c>
      <c r="E58" s="899">
        <f t="shared" ref="E58" si="5">D58/C58</f>
        <v>0.92937968027241635</v>
      </c>
      <c r="F58" s="764">
        <f t="shared" si="3"/>
        <v>468.69999999999982</v>
      </c>
      <c r="G58" s="900">
        <f t="shared" si="4"/>
        <v>7.0620319727583605E-2</v>
      </c>
    </row>
    <row r="59" spans="1:10" x14ac:dyDescent="0.35">
      <c r="A59"/>
      <c r="B59"/>
      <c r="C59" s="754"/>
      <c r="D59"/>
      <c r="E59"/>
      <c r="F59"/>
      <c r="G59"/>
    </row>
    <row r="60" spans="1:10" x14ac:dyDescent="0.35">
      <c r="A60" s="753" t="s">
        <v>631</v>
      </c>
      <c r="B60"/>
      <c r="C60" s="754"/>
      <c r="D60" s="754"/>
      <c r="E60" s="754"/>
      <c r="F60"/>
      <c r="G60"/>
    </row>
    <row r="61" spans="1:10" ht="29" x14ac:dyDescent="0.35">
      <c r="A61" s="755"/>
      <c r="B61" s="756"/>
      <c r="C61" s="757" t="s">
        <v>628</v>
      </c>
      <c r="D61" s="756" t="s">
        <v>629</v>
      </c>
      <c r="E61" s="756"/>
      <c r="F61" s="756" t="s">
        <v>630</v>
      </c>
      <c r="G61" s="756"/>
    </row>
    <row r="62" spans="1:10" x14ac:dyDescent="0.35">
      <c r="A62" s="758" t="s">
        <v>620</v>
      </c>
      <c r="B62" s="758"/>
      <c r="C62" s="892">
        <f>SUM(C63:C66)</f>
        <v>2981.8010000000008</v>
      </c>
      <c r="D62" s="892">
        <f>SUM(D63:D66)</f>
        <v>1155.664</v>
      </c>
      <c r="E62" s="899">
        <f t="shared" ref="E62:E68" si="6">D62/C62</f>
        <v>0.38757247717067628</v>
      </c>
      <c r="F62" s="892">
        <f>C62-D62</f>
        <v>1826.1370000000009</v>
      </c>
      <c r="G62" s="898">
        <f>F62/C62</f>
        <v>0.61242752282932378</v>
      </c>
      <c r="I62" s="765"/>
      <c r="J62" s="765"/>
    </row>
    <row r="63" spans="1:10" x14ac:dyDescent="0.35">
      <c r="A63" s="760" t="s">
        <v>621</v>
      </c>
      <c r="B63" s="755"/>
      <c r="C63" s="761">
        <f>C53*4.56</f>
        <v>1209.3120000000001</v>
      </c>
      <c r="D63" s="766">
        <f>D53*4.56</f>
        <v>738.71999999999991</v>
      </c>
      <c r="E63" s="901">
        <f t="shared" si="6"/>
        <v>0.61085972850678716</v>
      </c>
      <c r="F63" s="761">
        <f t="shared" ref="F63:F68" si="7">C63-D63</f>
        <v>470.59200000000021</v>
      </c>
      <c r="G63" s="902">
        <f t="shared" ref="G63:G68" si="8">F63/C63</f>
        <v>0.38914027149321279</v>
      </c>
    </row>
    <row r="64" spans="1:10" x14ac:dyDescent="0.35">
      <c r="A64" s="760" t="s">
        <v>622</v>
      </c>
      <c r="B64" s="755"/>
      <c r="C64" s="761">
        <f>C54*(8.24-4.56)</f>
        <v>988.81600000000037</v>
      </c>
      <c r="D64" s="766">
        <f>D54*(8.24-4.56)</f>
        <v>416.94400000000002</v>
      </c>
      <c r="E64" s="901">
        <f t="shared" si="6"/>
        <v>0.4216598436918495</v>
      </c>
      <c r="F64" s="761">
        <f t="shared" si="7"/>
        <v>571.8720000000003</v>
      </c>
      <c r="G64" s="902">
        <f t="shared" si="8"/>
        <v>0.57834015630815039</v>
      </c>
    </row>
    <row r="65" spans="1:7" x14ac:dyDescent="0.35">
      <c r="A65" s="760" t="s">
        <v>623</v>
      </c>
      <c r="B65" s="755"/>
      <c r="C65" s="761">
        <f>C55*(11.97-8.24)</f>
        <v>783.67300000000012</v>
      </c>
      <c r="D65" s="766">
        <f>D55*(11.97-8.24)</f>
        <v>0</v>
      </c>
      <c r="E65" s="901">
        <f t="shared" si="6"/>
        <v>0</v>
      </c>
      <c r="F65" s="761">
        <f t="shared" si="7"/>
        <v>783.67300000000012</v>
      </c>
      <c r="G65" s="902">
        <f t="shared" si="8"/>
        <v>1</v>
      </c>
    </row>
    <row r="66" spans="1:7" x14ac:dyDescent="0.35">
      <c r="A66" s="760"/>
      <c r="B66" s="755"/>
      <c r="C66" s="897"/>
      <c r="D66" s="755"/>
      <c r="E66" s="901"/>
      <c r="F66" s="761"/>
      <c r="G66" s="902"/>
    </row>
    <row r="67" spans="1:7" x14ac:dyDescent="0.35">
      <c r="A67" s="758" t="s">
        <v>279</v>
      </c>
      <c r="B67" s="758"/>
      <c r="C67" s="892">
        <f>C57*(9.8-0.6)</f>
        <v>54214.680000000037</v>
      </c>
      <c r="D67" s="892">
        <f>D57*(9.8-0.6)</f>
        <v>54214.680000000037</v>
      </c>
      <c r="E67" s="899">
        <f t="shared" si="6"/>
        <v>1</v>
      </c>
      <c r="F67" s="892">
        <f t="shared" si="7"/>
        <v>0</v>
      </c>
      <c r="G67" s="898">
        <f t="shared" si="8"/>
        <v>0</v>
      </c>
    </row>
    <row r="68" spans="1:7" x14ac:dyDescent="0.35">
      <c r="A68" s="762" t="s">
        <v>319</v>
      </c>
      <c r="B68" s="763"/>
      <c r="C68" s="764">
        <f>C62+C67</f>
        <v>57196.481000000036</v>
      </c>
      <c r="D68" s="764">
        <f>D62+D67</f>
        <v>55370.344000000034</v>
      </c>
      <c r="E68" s="903">
        <f t="shared" si="6"/>
        <v>0.96807256376489315</v>
      </c>
      <c r="F68" s="764">
        <f t="shared" si="7"/>
        <v>1826.1370000000024</v>
      </c>
      <c r="G68" s="904">
        <f t="shared" si="8"/>
        <v>3.1927436235106861E-2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59"/>
  <sheetViews>
    <sheetView showGridLines="0" tabSelected="1" zoomScale="85" zoomScaleNormal="85" workbookViewId="0">
      <pane xSplit="3" ySplit="2" topLeftCell="D3" activePane="bottomRight" state="frozen"/>
      <selection pane="topRight" activeCell="D1" sqref="D1"/>
      <selection pane="bottomLeft" activeCell="A3" sqref="A3"/>
      <selection pane="bottomRight" activeCell="J19" sqref="J19"/>
    </sheetView>
  </sheetViews>
  <sheetFormatPr defaultColWidth="9.1796875" defaultRowHeight="14.5" outlineLevelCol="1" x14ac:dyDescent="0.35"/>
  <cols>
    <col min="1" max="1" width="16.1796875" style="70" customWidth="1"/>
    <col min="2" max="2" width="46.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82</v>
      </c>
      <c r="D1" s="945" t="s">
        <v>83</v>
      </c>
      <c r="E1" s="945"/>
      <c r="F1" s="945"/>
      <c r="G1" s="945"/>
      <c r="H1" s="945"/>
      <c r="I1" s="945"/>
      <c r="L1" s="130" t="s">
        <v>179</v>
      </c>
      <c r="M1" s="1"/>
      <c r="N1" s="1"/>
      <c r="O1" s="1"/>
    </row>
    <row r="2" spans="1:15" ht="42" customHeight="1" x14ac:dyDescent="0.35">
      <c r="A2" s="82"/>
      <c r="B2" s="88"/>
      <c r="C2" s="75" t="s">
        <v>2</v>
      </c>
      <c r="D2" s="83">
        <f>Esileht!B10</f>
        <v>2023</v>
      </c>
      <c r="E2" s="83">
        <f>D2+1</f>
        <v>2024</v>
      </c>
      <c r="F2" s="83">
        <f t="shared" ref="F2:I2" si="0">E2+1</f>
        <v>2025</v>
      </c>
      <c r="G2" s="83">
        <f t="shared" si="0"/>
        <v>2026</v>
      </c>
      <c r="H2" s="83">
        <f t="shared" si="0"/>
        <v>2027</v>
      </c>
      <c r="I2" s="83">
        <f t="shared" si="0"/>
        <v>2028</v>
      </c>
      <c r="J2" s="83" t="s">
        <v>79</v>
      </c>
      <c r="L2" s="99" t="s">
        <v>77</v>
      </c>
      <c r="M2" s="131" t="s">
        <v>117</v>
      </c>
      <c r="N2" s="131" t="s">
        <v>118</v>
      </c>
      <c r="O2" s="131" t="s">
        <v>180</v>
      </c>
    </row>
    <row r="3" spans="1:15" ht="3.75" customHeight="1" x14ac:dyDescent="0.35">
      <c r="A3" s="84"/>
      <c r="B3" s="89"/>
      <c r="C3" s="85"/>
      <c r="D3" s="86"/>
      <c r="E3" s="86"/>
      <c r="F3" s="86"/>
      <c r="G3" s="86"/>
      <c r="H3" s="86"/>
      <c r="I3" s="86"/>
      <c r="J3" s="87"/>
      <c r="L3" s="91"/>
      <c r="M3" s="74"/>
      <c r="N3" s="74"/>
      <c r="O3" s="134"/>
    </row>
    <row r="4" spans="1:15" ht="21" customHeight="1" x14ac:dyDescent="0.35">
      <c r="A4" s="938" t="s">
        <v>128</v>
      </c>
      <c r="B4" s="939"/>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940" t="s">
        <v>261</v>
      </c>
      <c r="B6" s="941"/>
      <c r="C6" s="76" t="s">
        <v>3</v>
      </c>
      <c r="D6" s="92"/>
      <c r="E6" s="92"/>
      <c r="F6" s="92"/>
      <c r="G6" s="92"/>
      <c r="H6" s="92"/>
      <c r="I6" s="92"/>
      <c r="J6" s="93">
        <f>SUM(D6:I6)</f>
        <v>0</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26.25" customHeight="1" x14ac:dyDescent="0.35">
      <c r="A8" s="942" t="s">
        <v>260</v>
      </c>
      <c r="B8" s="352" t="s">
        <v>257</v>
      </c>
      <c r="C8" s="76" t="s">
        <v>3</v>
      </c>
      <c r="D8" s="92"/>
      <c r="E8" s="92">
        <f>Investeeringud!E4+Investeeringud!E11+Investeeringud!E15</f>
        <v>8200301.9676799998</v>
      </c>
      <c r="F8" s="92"/>
      <c r="G8" s="92"/>
      <c r="H8" s="92"/>
      <c r="I8" s="92"/>
      <c r="J8" s="93">
        <f>SUM(D8:I8)</f>
        <v>8200301.9676799998</v>
      </c>
      <c r="L8" s="72">
        <v>13</v>
      </c>
      <c r="M8" s="72" t="s">
        <v>119</v>
      </c>
      <c r="N8" s="72">
        <v>2025</v>
      </c>
      <c r="O8" s="132">
        <f>IF(M8=$M$48,N8+L8-1,N8+L8)</f>
        <v>2037</v>
      </c>
    </row>
    <row r="9" spans="1:15" ht="24.75" customHeight="1" x14ac:dyDescent="0.35">
      <c r="A9" s="942"/>
      <c r="B9" s="854" t="s">
        <v>262</v>
      </c>
      <c r="C9" s="76" t="s">
        <v>3</v>
      </c>
      <c r="D9" s="92"/>
      <c r="E9" s="92">
        <f>Investeeringud!E17+Investeeringud!E7</f>
        <v>263423.03000000003</v>
      </c>
      <c r="F9" s="92"/>
      <c r="G9" s="92"/>
      <c r="H9" s="92"/>
      <c r="I9" s="92"/>
      <c r="J9" s="93">
        <f t="shared" ref="J9:J12" si="2">SUM(D9:I9)</f>
        <v>263423.03000000003</v>
      </c>
      <c r="L9" s="72">
        <v>13</v>
      </c>
      <c r="M9" s="72" t="s">
        <v>119</v>
      </c>
      <c r="N9" s="72">
        <v>2025</v>
      </c>
      <c r="O9" s="132">
        <f>IF(M9=$M$48,N9+L9-1,N9+L9)</f>
        <v>2037</v>
      </c>
    </row>
    <row r="10" spans="1:15" ht="78.75" hidden="1" customHeight="1" x14ac:dyDescent="0.35">
      <c r="A10" s="942"/>
      <c r="B10" s="354"/>
      <c r="C10" s="76" t="s">
        <v>3</v>
      </c>
      <c r="D10" s="92"/>
      <c r="E10" s="92"/>
      <c r="F10" s="92"/>
      <c r="G10" s="92"/>
      <c r="H10" s="92"/>
      <c r="I10" s="92"/>
      <c r="J10" s="93">
        <f t="shared" si="2"/>
        <v>0</v>
      </c>
      <c r="L10" s="72"/>
      <c r="M10" s="72"/>
      <c r="N10" s="72"/>
      <c r="O10" s="132">
        <f>IF(M10=$M$48,N10+L10-1,N10+L10)</f>
        <v>0</v>
      </c>
    </row>
    <row r="11" spans="1:15" ht="64.5" hidden="1" customHeight="1" x14ac:dyDescent="0.35">
      <c r="A11" s="942"/>
      <c r="B11" s="354"/>
      <c r="C11" s="76" t="s">
        <v>3</v>
      </c>
      <c r="D11" s="92"/>
      <c r="E11" s="92"/>
      <c r="F11" s="92"/>
      <c r="G11" s="92"/>
      <c r="H11" s="92"/>
      <c r="I11" s="92"/>
      <c r="J11" s="93">
        <f t="shared" si="2"/>
        <v>0</v>
      </c>
      <c r="L11" s="72"/>
      <c r="M11" s="72"/>
      <c r="N11" s="72"/>
      <c r="O11" s="132">
        <f>IF(M11=$M$48,N11+L11-1,N11+L11)</f>
        <v>0</v>
      </c>
    </row>
    <row r="12" spans="1:15" ht="36.75" hidden="1" customHeight="1" x14ac:dyDescent="0.35">
      <c r="A12" s="942"/>
      <c r="B12" s="354"/>
      <c r="C12" s="76" t="s">
        <v>3</v>
      </c>
      <c r="D12" s="92"/>
      <c r="E12" s="92"/>
      <c r="F12" s="92"/>
      <c r="G12" s="92"/>
      <c r="H12" s="92"/>
      <c r="I12" s="92"/>
      <c r="J12" s="93">
        <f t="shared" si="2"/>
        <v>0</v>
      </c>
      <c r="L12" s="72"/>
      <c r="M12" s="72"/>
      <c r="N12" s="72"/>
      <c r="O12" s="132">
        <f>IF(M12=$M$48,N12+L12-1,N12+L12)</f>
        <v>0</v>
      </c>
    </row>
    <row r="13" spans="1:15" ht="18" customHeight="1" x14ac:dyDescent="0.35">
      <c r="A13" s="943" t="s">
        <v>154</v>
      </c>
      <c r="B13" s="943"/>
      <c r="C13" s="77" t="s">
        <v>3</v>
      </c>
      <c r="D13" s="93">
        <f t="shared" ref="D13:I13" si="3">SUBTOTAL(9,D8:D12)</f>
        <v>0</v>
      </c>
      <c r="E13" s="93">
        <f t="shared" si="3"/>
        <v>8463724.9976799991</v>
      </c>
      <c r="F13" s="93">
        <f t="shared" si="3"/>
        <v>0</v>
      </c>
      <c r="G13" s="93">
        <f t="shared" si="3"/>
        <v>0</v>
      </c>
      <c r="H13" s="93">
        <f t="shared" si="3"/>
        <v>0</v>
      </c>
      <c r="I13" s="93">
        <f t="shared" si="3"/>
        <v>0</v>
      </c>
      <c r="J13" s="93">
        <f t="shared" ref="J13" si="4">SUM(D13:I13)</f>
        <v>8463724.9976799991</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hidden="1" customHeight="1" x14ac:dyDescent="0.35">
      <c r="A15" s="933"/>
      <c r="B15" s="934"/>
      <c r="C15" s="76" t="s">
        <v>3</v>
      </c>
      <c r="D15" s="92"/>
      <c r="E15" s="92"/>
      <c r="F15" s="92"/>
      <c r="G15" s="92"/>
      <c r="H15" s="92"/>
      <c r="I15" s="92"/>
      <c r="J15" s="93">
        <f>SUM(D15:I15)</f>
        <v>0</v>
      </c>
      <c r="L15" s="72"/>
      <c r="M15" s="72"/>
      <c r="N15" s="72"/>
      <c r="O15" s="132">
        <f>IF(M15=$M$48,N15+L15-1,N15+L15)</f>
        <v>0</v>
      </c>
    </row>
    <row r="16" spans="1:15" ht="3.75" hidden="1" customHeight="1" x14ac:dyDescent="0.35">
      <c r="A16" s="73"/>
      <c r="B16" s="90"/>
      <c r="C16" s="74"/>
      <c r="D16" s="94"/>
      <c r="E16" s="94"/>
      <c r="F16" s="94"/>
      <c r="G16" s="94"/>
      <c r="H16" s="94"/>
      <c r="I16" s="94"/>
      <c r="J16" s="96"/>
      <c r="L16" s="4"/>
      <c r="M16" s="74"/>
      <c r="N16" s="74"/>
      <c r="O16" s="134"/>
    </row>
    <row r="17" spans="1:15" ht="21" customHeight="1" x14ac:dyDescent="0.35">
      <c r="A17" s="940" t="s">
        <v>263</v>
      </c>
      <c r="B17" s="941"/>
      <c r="C17" s="76" t="s">
        <v>3</v>
      </c>
      <c r="D17" s="92"/>
      <c r="E17" s="92"/>
      <c r="F17" s="92"/>
      <c r="G17" s="92"/>
      <c r="H17" s="92"/>
      <c r="I17" s="92"/>
      <c r="J17" s="93">
        <f>SUM(D17:I17)</f>
        <v>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936" t="s">
        <v>78</v>
      </c>
      <c r="B19" s="937"/>
      <c r="C19" s="79" t="s">
        <v>3</v>
      </c>
      <c r="D19" s="97">
        <f t="shared" ref="D19:I19" si="5">SUBTOTAL(9,D4:D17)</f>
        <v>0</v>
      </c>
      <c r="E19" s="97">
        <f t="shared" si="5"/>
        <v>8463724.9976799991</v>
      </c>
      <c r="F19" s="97">
        <f t="shared" si="5"/>
        <v>0</v>
      </c>
      <c r="G19" s="97">
        <f t="shared" si="5"/>
        <v>0</v>
      </c>
      <c r="H19" s="97">
        <f t="shared" si="5"/>
        <v>0</v>
      </c>
      <c r="I19" s="97">
        <f t="shared" si="5"/>
        <v>0</v>
      </c>
      <c r="J19" s="97">
        <f>SUM(D19:I19)</f>
        <v>8463724.9976799991</v>
      </c>
      <c r="K19" s="80"/>
      <c r="L19" s="930" t="s">
        <v>127</v>
      </c>
      <c r="M19" s="931"/>
      <c r="N19" s="932"/>
      <c r="O19" s="133">
        <f>MAX(O5:O17)</f>
        <v>2037</v>
      </c>
    </row>
    <row r="20" spans="1:15" ht="3.75" customHeight="1" x14ac:dyDescent="0.35">
      <c r="A20" s="73"/>
      <c r="B20" s="90"/>
      <c r="C20" s="74"/>
      <c r="D20" s="18"/>
      <c r="E20" s="18"/>
      <c r="F20" s="18"/>
      <c r="G20" s="18"/>
      <c r="H20" s="18"/>
      <c r="I20" s="18"/>
      <c r="J20" s="78"/>
      <c r="L20" s="4"/>
      <c r="M20" s="74"/>
      <c r="N20" s="74"/>
      <c r="O20" s="134"/>
    </row>
    <row r="21" spans="1:15" ht="29.25" customHeight="1" x14ac:dyDescent="0.35">
      <c r="A21" s="23"/>
      <c r="L21" s="944" t="s">
        <v>181</v>
      </c>
      <c r="M21" s="944"/>
      <c r="N21" s="944"/>
      <c r="O21" s="72">
        <f>IF(O19&lt;=Esileht!B11,0,O19-Esileht!B11)</f>
        <v>0</v>
      </c>
    </row>
    <row r="22" spans="1:15" ht="8.25" customHeight="1" x14ac:dyDescent="0.35">
      <c r="A22" s="1"/>
    </row>
    <row r="23" spans="1:15" ht="22.5" customHeight="1" x14ac:dyDescent="0.35">
      <c r="A23" s="98" t="s">
        <v>81</v>
      </c>
    </row>
    <row r="24" spans="1:15" ht="28.5" customHeight="1" x14ac:dyDescent="0.35">
      <c r="A24" s="82"/>
      <c r="B24" s="88"/>
      <c r="C24" s="75" t="s">
        <v>2</v>
      </c>
      <c r="D24" s="83">
        <f>D2</f>
        <v>2023</v>
      </c>
      <c r="E24" s="83">
        <f>D24+1</f>
        <v>2024</v>
      </c>
      <c r="F24" s="83">
        <f t="shared" ref="F24" si="6">E24+1</f>
        <v>2025</v>
      </c>
      <c r="G24" s="83">
        <f t="shared" ref="G24" si="7">F24+1</f>
        <v>2026</v>
      </c>
      <c r="H24" s="83">
        <f t="shared" ref="H24" si="8">G24+1</f>
        <v>2027</v>
      </c>
      <c r="I24" s="83">
        <f t="shared" ref="I24" si="9">H24+1</f>
        <v>2028</v>
      </c>
      <c r="J24" s="83" t="s">
        <v>79</v>
      </c>
    </row>
    <row r="25" spans="1:15" ht="3.75" customHeight="1" x14ac:dyDescent="0.35">
      <c r="A25" s="84"/>
      <c r="B25" s="89"/>
      <c r="C25" s="85"/>
      <c r="D25" s="86"/>
      <c r="E25" s="86"/>
      <c r="F25" s="86"/>
      <c r="G25" s="86"/>
      <c r="H25" s="86"/>
      <c r="I25" s="86"/>
      <c r="J25" s="87"/>
    </row>
    <row r="26" spans="1:15" ht="21" customHeight="1" x14ac:dyDescent="0.35">
      <c r="A26" s="938" t="s">
        <v>128</v>
      </c>
      <c r="B26" s="939"/>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940" t="s">
        <v>129</v>
      </c>
      <c r="B28" s="941"/>
      <c r="C28" s="76" t="s">
        <v>3</v>
      </c>
      <c r="D28" s="92"/>
      <c r="E28" s="92"/>
      <c r="F28" s="92"/>
      <c r="G28" s="92"/>
      <c r="H28" s="92"/>
      <c r="I28" s="92"/>
      <c r="J28" s="93">
        <f>SUM(D28:I28)</f>
        <v>0</v>
      </c>
    </row>
    <row r="29" spans="1:15" ht="3.75" customHeight="1" x14ac:dyDescent="0.35">
      <c r="A29" s="73"/>
      <c r="B29" s="90"/>
      <c r="C29" s="74"/>
      <c r="D29" s="94"/>
      <c r="E29" s="94"/>
      <c r="F29" s="94"/>
      <c r="G29" s="94"/>
      <c r="H29" s="94"/>
      <c r="I29" s="94"/>
      <c r="J29" s="95"/>
    </row>
    <row r="30" spans="1:15" x14ac:dyDescent="0.35">
      <c r="A30" s="942" t="str">
        <f>A8</f>
        <v>3. Ehitamine</v>
      </c>
      <c r="B30" s="135" t="str">
        <f>B8</f>
        <v>3.1. Inkubaatori  ehitamise kulud</v>
      </c>
      <c r="C30" s="76" t="s">
        <v>3</v>
      </c>
      <c r="D30" s="92"/>
      <c r="E30" s="92">
        <f>E8</f>
        <v>8200301.9676799998</v>
      </c>
      <c r="F30" s="92"/>
      <c r="G30" s="92"/>
      <c r="H30" s="92"/>
      <c r="I30" s="92"/>
      <c r="J30" s="93">
        <f>SUM(D30:I30)</f>
        <v>8200301.9676799998</v>
      </c>
    </row>
    <row r="31" spans="1:15" ht="31.5" customHeight="1" x14ac:dyDescent="0.35">
      <c r="A31" s="942"/>
      <c r="B31" s="135" t="str">
        <f>B9</f>
        <v>3.2. Seadmete ostmise kulud</v>
      </c>
      <c r="C31" s="76" t="s">
        <v>3</v>
      </c>
      <c r="D31" s="92"/>
      <c r="E31" s="92">
        <f>E9</f>
        <v>263423.03000000003</v>
      </c>
      <c r="F31" s="92"/>
      <c r="G31" s="92"/>
      <c r="H31" s="92"/>
      <c r="I31" s="92"/>
      <c r="J31" s="93">
        <f t="shared" ref="J31:J34" si="11">SUM(D31:I31)</f>
        <v>263423.03000000003</v>
      </c>
    </row>
    <row r="32" spans="1:15" ht="80.25" hidden="1" customHeight="1" x14ac:dyDescent="0.35">
      <c r="A32" s="942"/>
      <c r="B32" s="135">
        <f>B10</f>
        <v>0</v>
      </c>
      <c r="C32" s="76" t="s">
        <v>3</v>
      </c>
      <c r="D32" s="92"/>
      <c r="E32" s="92"/>
      <c r="F32" s="92"/>
      <c r="G32" s="92"/>
      <c r="H32" s="92"/>
      <c r="I32" s="92"/>
      <c r="J32" s="93">
        <f t="shared" si="11"/>
        <v>0</v>
      </c>
    </row>
    <row r="33" spans="1:13" ht="62.25" hidden="1" customHeight="1" x14ac:dyDescent="0.35">
      <c r="A33" s="942"/>
      <c r="B33" s="135">
        <f>B11</f>
        <v>0</v>
      </c>
      <c r="C33" s="76" t="s">
        <v>3</v>
      </c>
      <c r="D33" s="92"/>
      <c r="E33" s="92"/>
      <c r="F33" s="92"/>
      <c r="G33" s="92"/>
      <c r="H33" s="92"/>
      <c r="I33" s="92"/>
      <c r="J33" s="93">
        <f t="shared" si="11"/>
        <v>0</v>
      </c>
    </row>
    <row r="34" spans="1:13" ht="35.25" hidden="1" customHeight="1" x14ac:dyDescent="0.35">
      <c r="A34" s="942"/>
      <c r="B34" s="135">
        <f>B12</f>
        <v>0</v>
      </c>
      <c r="C34" s="76" t="s">
        <v>3</v>
      </c>
      <c r="D34" s="92"/>
      <c r="E34" s="92"/>
      <c r="F34" s="92"/>
      <c r="G34" s="92"/>
      <c r="H34" s="92"/>
      <c r="I34" s="92"/>
      <c r="J34" s="93">
        <f t="shared" si="11"/>
        <v>0</v>
      </c>
    </row>
    <row r="35" spans="1:13" ht="16.5" customHeight="1" x14ac:dyDescent="0.35">
      <c r="A35" s="943" t="str">
        <f>A13</f>
        <v>3. Inkubaatori või tootearenduskeskuse arendamise kulud kokku</v>
      </c>
      <c r="B35" s="943"/>
      <c r="C35" s="77" t="s">
        <v>3</v>
      </c>
      <c r="D35" s="93">
        <f t="shared" ref="D35:I35" si="12">SUBTOTAL(9,D30:D34)</f>
        <v>0</v>
      </c>
      <c r="E35" s="93">
        <f t="shared" si="12"/>
        <v>8463724.9976799991</v>
      </c>
      <c r="F35" s="93">
        <f t="shared" si="12"/>
        <v>0</v>
      </c>
      <c r="G35" s="93">
        <f t="shared" si="12"/>
        <v>0</v>
      </c>
      <c r="H35" s="93">
        <f t="shared" si="12"/>
        <v>0</v>
      </c>
      <c r="I35" s="93">
        <f t="shared" si="12"/>
        <v>0</v>
      </c>
      <c r="J35" s="93">
        <f t="shared" ref="J35" si="13">SUM(D35:I35)</f>
        <v>8463724.9976799991</v>
      </c>
    </row>
    <row r="36" spans="1:13" ht="3.75" customHeight="1" x14ac:dyDescent="0.35">
      <c r="A36" s="73"/>
      <c r="B36" s="90"/>
      <c r="C36" s="74"/>
      <c r="D36" s="94"/>
      <c r="E36" s="94"/>
      <c r="F36" s="94"/>
      <c r="G36" s="94"/>
      <c r="H36" s="94"/>
      <c r="I36" s="94"/>
      <c r="J36" s="95"/>
    </row>
    <row r="37" spans="1:13" ht="21" hidden="1" customHeight="1" x14ac:dyDescent="0.35">
      <c r="A37" s="940">
        <f>A15</f>
        <v>0</v>
      </c>
      <c r="B37" s="941"/>
      <c r="C37" s="76" t="s">
        <v>3</v>
      </c>
      <c r="D37" s="92"/>
      <c r="E37" s="92"/>
      <c r="F37" s="92"/>
      <c r="G37" s="92"/>
      <c r="H37" s="92"/>
      <c r="I37" s="92"/>
      <c r="J37" s="93">
        <f>SUM(D37:I37)</f>
        <v>0</v>
      </c>
    </row>
    <row r="38" spans="1:13" ht="3.75" hidden="1" customHeight="1" x14ac:dyDescent="0.35">
      <c r="A38" s="73"/>
      <c r="B38" s="90"/>
      <c r="C38" s="74"/>
      <c r="D38" s="94"/>
      <c r="E38" s="94"/>
      <c r="F38" s="94"/>
      <c r="G38" s="94"/>
      <c r="H38" s="94"/>
      <c r="I38" s="94"/>
      <c r="J38" s="96"/>
    </row>
    <row r="39" spans="1:13" ht="21" customHeight="1" x14ac:dyDescent="0.35">
      <c r="A39" s="940" t="str">
        <f>A17</f>
        <v>4. Struktuuritoetuse andmisest avalikkuse teavitamine</v>
      </c>
      <c r="B39" s="941"/>
      <c r="C39" s="76" t="s">
        <v>3</v>
      </c>
      <c r="D39" s="92"/>
      <c r="E39" s="92"/>
      <c r="F39" s="92"/>
      <c r="G39" s="92"/>
      <c r="H39" s="92"/>
      <c r="I39" s="92"/>
      <c r="J39" s="93">
        <f>SUM(D39:I39)</f>
        <v>0</v>
      </c>
    </row>
    <row r="40" spans="1:13" ht="3.75" customHeight="1" x14ac:dyDescent="0.35">
      <c r="A40" s="73"/>
      <c r="B40" s="90"/>
      <c r="C40" s="74"/>
      <c r="D40" s="94"/>
      <c r="E40" s="94"/>
      <c r="F40" s="94"/>
      <c r="G40" s="94"/>
      <c r="H40" s="94"/>
      <c r="I40" s="94"/>
      <c r="J40" s="96"/>
    </row>
    <row r="41" spans="1:13" ht="19.5" customHeight="1" x14ac:dyDescent="0.35">
      <c r="A41" s="936" t="s">
        <v>80</v>
      </c>
      <c r="B41" s="937"/>
      <c r="C41" s="79" t="s">
        <v>3</v>
      </c>
      <c r="D41" s="97">
        <f t="shared" ref="D41:I41" si="14">SUBTOTAL(9,D26:D39)</f>
        <v>0</v>
      </c>
      <c r="E41" s="97">
        <f t="shared" si="14"/>
        <v>8463724.9976799991</v>
      </c>
      <c r="F41" s="97">
        <f t="shared" si="14"/>
        <v>0</v>
      </c>
      <c r="G41" s="97">
        <f t="shared" si="14"/>
        <v>0</v>
      </c>
      <c r="H41" s="97">
        <f t="shared" si="14"/>
        <v>0</v>
      </c>
      <c r="I41" s="97">
        <f t="shared" si="14"/>
        <v>0</v>
      </c>
      <c r="J41" s="97">
        <f>SUM(D41:I41)</f>
        <v>8463724.9976799991</v>
      </c>
      <c r="K41" s="136">
        <f>IF(J19&gt;0,J41/J19,"")</f>
        <v>1</v>
      </c>
    </row>
    <row r="42" spans="1:13" ht="3.75" customHeight="1" x14ac:dyDescent="0.35">
      <c r="A42" s="73"/>
      <c r="B42" s="90"/>
      <c r="C42" s="74"/>
      <c r="D42" s="18"/>
      <c r="E42" s="18"/>
      <c r="F42" s="18"/>
      <c r="G42" s="18"/>
      <c r="H42" s="18"/>
      <c r="I42" s="18"/>
      <c r="J42" s="78"/>
    </row>
    <row r="43" spans="1:13" x14ac:dyDescent="0.35">
      <c r="A43" s="23"/>
      <c r="K43" s="100"/>
    </row>
    <row r="44" spans="1:13" ht="19.5" customHeight="1" x14ac:dyDescent="0.35">
      <c r="A44" s="935" t="s">
        <v>86</v>
      </c>
      <c r="B44" s="935"/>
      <c r="C44" s="76" t="s">
        <v>3</v>
      </c>
      <c r="D44" s="118">
        <f t="shared" ref="D44:I44" si="15">D19-D41</f>
        <v>0</v>
      </c>
      <c r="E44" s="118">
        <f t="shared" si="15"/>
        <v>0</v>
      </c>
      <c r="F44" s="118">
        <f t="shared" si="15"/>
        <v>0</v>
      </c>
      <c r="G44" s="118">
        <f t="shared" si="15"/>
        <v>0</v>
      </c>
      <c r="H44" s="118">
        <f t="shared" si="15"/>
        <v>0</v>
      </c>
      <c r="I44" s="118">
        <f t="shared" si="15"/>
        <v>0</v>
      </c>
      <c r="J44" s="119">
        <f>SUM(D44:I44)</f>
        <v>0</v>
      </c>
      <c r="K44" s="137">
        <f>IF(J19&gt;0,J44/J19,"")</f>
        <v>0</v>
      </c>
    </row>
    <row r="48" spans="1:13" hidden="1" x14ac:dyDescent="0.35">
      <c r="M48" s="103" t="s">
        <v>119</v>
      </c>
    </row>
    <row r="49" spans="13:13" hidden="1" x14ac:dyDescent="0.35">
      <c r="M49" s="103" t="s">
        <v>120</v>
      </c>
    </row>
    <row r="50" spans="13:13" hidden="1" x14ac:dyDescent="0.35">
      <c r="M50" s="103" t="s">
        <v>4</v>
      </c>
    </row>
    <row r="51" spans="13:13" hidden="1" x14ac:dyDescent="0.35">
      <c r="M51" s="103" t="s">
        <v>121</v>
      </c>
    </row>
    <row r="52" spans="13:13" hidden="1" x14ac:dyDescent="0.35">
      <c r="M52" s="103" t="s">
        <v>5</v>
      </c>
    </row>
    <row r="53" spans="13:13" hidden="1" x14ac:dyDescent="0.35">
      <c r="M53" s="103" t="s">
        <v>6</v>
      </c>
    </row>
    <row r="54" spans="13:13" hidden="1" x14ac:dyDescent="0.35">
      <c r="M54" s="103" t="s">
        <v>7</v>
      </c>
    </row>
    <row r="55" spans="13:13" hidden="1" x14ac:dyDescent="0.35">
      <c r="M55" s="103" t="s">
        <v>122</v>
      </c>
    </row>
    <row r="56" spans="13:13" hidden="1" x14ac:dyDescent="0.35">
      <c r="M56" s="103" t="s">
        <v>123</v>
      </c>
    </row>
    <row r="57" spans="13:13" hidden="1" x14ac:dyDescent="0.35">
      <c r="M57" s="103" t="s">
        <v>124</v>
      </c>
    </row>
    <row r="58" spans="13:13" hidden="1" x14ac:dyDescent="0.35">
      <c r="M58" s="103" t="s">
        <v>125</v>
      </c>
    </row>
    <row r="59" spans="13:13" hidden="1" x14ac:dyDescent="0.35">
      <c r="M59" s="103" t="s">
        <v>126</v>
      </c>
    </row>
  </sheetData>
  <mergeCells count="18">
    <mergeCell ref="A13:B13"/>
    <mergeCell ref="D1:I1"/>
    <mergeCell ref="A8:A12"/>
    <mergeCell ref="A4:B4"/>
    <mergeCell ref="A6:B6"/>
    <mergeCell ref="L19:N19"/>
    <mergeCell ref="A15:B15"/>
    <mergeCell ref="A44:B44"/>
    <mergeCell ref="A19:B19"/>
    <mergeCell ref="A26:B26"/>
    <mergeCell ref="A37:B37"/>
    <mergeCell ref="A39:B39"/>
    <mergeCell ref="A41:B41"/>
    <mergeCell ref="A17:B17"/>
    <mergeCell ref="A28:B28"/>
    <mergeCell ref="A30:A34"/>
    <mergeCell ref="A35:B35"/>
    <mergeCell ref="L21:N21"/>
  </mergeCells>
  <dataValidations count="3">
    <dataValidation type="whole" operator="greaterThanOrEqual" allowBlank="1" showInputMessage="1" showErrorMessage="1" error="Aastate arv peab olema vähemalt 1" promptTitle="Vara kasulik eluiga" prompt="Aastate arv peab olema vähemalt 1" sqref="L15 L17 L4:L6 L8:L12">
      <formula1>1</formula1>
    </dataValidation>
    <dataValidation type="whole" allowBlank="1" showInputMessage="1" showErrorMessage="1" error="Aastanumber on väljaspool projektiperioodi" sqref="N20 N4:N18">
      <formula1>$D$2</formula1>
      <formula2>$I$2</formula2>
    </dataValidation>
    <dataValidation type="list" allowBlank="1" showInputMessage="1" showErrorMessage="1" prompt="Vali kuu rippmenüüst" sqref="M20 M4:M18">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588"/>
  <sheetViews>
    <sheetView showGridLines="0" zoomScale="85" zoomScaleNormal="85" workbookViewId="0">
      <pane xSplit="3" ySplit="4" topLeftCell="D92" activePane="bottomRight" state="frozen"/>
      <selection pane="topRight" activeCell="D1" sqref="D1"/>
      <selection pane="bottomLeft" activeCell="A5" sqref="A5"/>
      <selection pane="bottomRight" activeCell="G87" sqref="G86:G87"/>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ht="22.5" customHeight="1" x14ac:dyDescent="0.35">
      <c r="A1" s="145" t="s">
        <v>157</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35">
      <c r="A3" s="153"/>
      <c r="B3" s="154"/>
      <c r="C3" s="155"/>
      <c r="D3" s="156">
        <f>'1. Projekti elluviimise kulud'!D2</f>
        <v>2023</v>
      </c>
      <c r="E3" s="156">
        <f>D3+1</f>
        <v>2024</v>
      </c>
      <c r="F3" s="156">
        <f t="shared" ref="F3:P3" si="0">E3+1</f>
        <v>2025</v>
      </c>
      <c r="G3" s="156">
        <f t="shared" si="0"/>
        <v>2026</v>
      </c>
      <c r="H3" s="156">
        <f t="shared" si="0"/>
        <v>2027</v>
      </c>
      <c r="I3" s="156">
        <f t="shared" si="0"/>
        <v>2028</v>
      </c>
      <c r="J3" s="156">
        <f t="shared" si="0"/>
        <v>2029</v>
      </c>
      <c r="K3" s="156">
        <f t="shared" si="0"/>
        <v>2030</v>
      </c>
      <c r="L3" s="156">
        <f t="shared" si="0"/>
        <v>2031</v>
      </c>
      <c r="M3" s="156">
        <f t="shared" si="0"/>
        <v>2032</v>
      </c>
      <c r="N3" s="156">
        <f t="shared" si="0"/>
        <v>2033</v>
      </c>
      <c r="O3" s="156">
        <f t="shared" si="0"/>
        <v>2034</v>
      </c>
      <c r="P3" s="156">
        <f t="shared" si="0"/>
        <v>2035</v>
      </c>
      <c r="Q3" s="156">
        <f t="shared" ref="Q3" si="1">P3+1</f>
        <v>2036</v>
      </c>
      <c r="R3" s="156">
        <f t="shared" ref="R3" si="2">Q3+1</f>
        <v>2037</v>
      </c>
      <c r="S3" s="285" t="str">
        <f>IF(R3=Esileht!B11,"OK","Prognoosiperioodi viimane aasta ei kattu esilehel näidatud arvestusperioodi lõpuaastaga")</f>
        <v>OK</v>
      </c>
      <c r="T3" s="150"/>
    </row>
    <row r="4" spans="1:20" ht="4.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45</v>
      </c>
      <c r="B5" s="165"/>
      <c r="C5" s="166" t="s">
        <v>2</v>
      </c>
      <c r="D5" s="168"/>
      <c r="E5" s="168"/>
      <c r="F5" s="168"/>
      <c r="G5" s="168"/>
      <c r="H5" s="168"/>
      <c r="I5" s="168"/>
      <c r="J5" s="168"/>
      <c r="K5" s="168"/>
      <c r="L5" s="168"/>
      <c r="M5" s="168"/>
      <c r="N5" s="168"/>
      <c r="O5" s="168"/>
      <c r="P5" s="168"/>
      <c r="Q5" s="168"/>
      <c r="R5" s="169"/>
      <c r="S5" s="163"/>
      <c r="T5" s="163"/>
    </row>
    <row r="6" spans="1:20" ht="4.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955" t="s">
        <v>607</v>
      </c>
      <c r="B7" s="874" t="s">
        <v>155</v>
      </c>
      <c r="C7" s="875" t="s">
        <v>337</v>
      </c>
      <c r="D7" s="171"/>
      <c r="E7" s="171"/>
      <c r="F7" s="171">
        <f>Eeldused_muugi!F9</f>
        <v>2946.4500000000016</v>
      </c>
      <c r="G7" s="171">
        <f>Eeldused_muugi!G9</f>
        <v>2946.4500000000016</v>
      </c>
      <c r="H7" s="171">
        <f>Eeldused_muugi!H9</f>
        <v>2946.4500000000016</v>
      </c>
      <c r="I7" s="171">
        <f>Eeldused_muugi!I9</f>
        <v>2946.4500000000016</v>
      </c>
      <c r="J7" s="171">
        <f>Eeldused_muugi!J9</f>
        <v>2946.4500000000016</v>
      </c>
      <c r="K7" s="171">
        <f>Eeldused_muugi!K9</f>
        <v>2946.4500000000016</v>
      </c>
      <c r="L7" s="171">
        <f>Eeldused_muugi!L9</f>
        <v>2946.4500000000016</v>
      </c>
      <c r="M7" s="171">
        <f>Eeldused_muugi!M9</f>
        <v>2946.4500000000016</v>
      </c>
      <c r="N7" s="171">
        <f>Eeldused_muugi!N9</f>
        <v>2946.4500000000016</v>
      </c>
      <c r="O7" s="171">
        <f>Eeldused_muugi!O9</f>
        <v>2946.4500000000016</v>
      </c>
      <c r="P7" s="171">
        <f>Eeldused_muugi!P9</f>
        <v>2946.4500000000016</v>
      </c>
      <c r="Q7" s="171">
        <f>Eeldused_muugi!Q9</f>
        <v>2946.4500000000016</v>
      </c>
      <c r="R7" s="171">
        <f>Eeldused_muugi!R9</f>
        <v>2946.4500000000016</v>
      </c>
      <c r="S7" s="163"/>
      <c r="T7" s="163"/>
    </row>
    <row r="8" spans="1:20" ht="15.75" customHeight="1" x14ac:dyDescent="0.35">
      <c r="A8" s="955"/>
      <c r="B8" s="874" t="s">
        <v>0</v>
      </c>
      <c r="C8" s="875" t="s">
        <v>609</v>
      </c>
      <c r="D8" s="171"/>
      <c r="E8" s="171"/>
      <c r="F8" s="171">
        <f>Tulu!$C$7*12</f>
        <v>60</v>
      </c>
      <c r="G8" s="171">
        <f>Tulu!$C$7*12</f>
        <v>60</v>
      </c>
      <c r="H8" s="171">
        <f>Tulu!$C$7*12</f>
        <v>60</v>
      </c>
      <c r="I8" s="171">
        <f>Tulu!$C$7*12</f>
        <v>60</v>
      </c>
      <c r="J8" s="171">
        <f>Tulu!$C$7*12</f>
        <v>60</v>
      </c>
      <c r="K8" s="171">
        <f>Tulu!$C$7*12</f>
        <v>60</v>
      </c>
      <c r="L8" s="171">
        <f>Tulu!$C$7*12</f>
        <v>60</v>
      </c>
      <c r="M8" s="171">
        <f>Tulu!$C$7*12</f>
        <v>60</v>
      </c>
      <c r="N8" s="171">
        <f>Tulu!$C$7*12</f>
        <v>60</v>
      </c>
      <c r="O8" s="171">
        <f>Tulu!$C$7*12</f>
        <v>60</v>
      </c>
      <c r="P8" s="171">
        <f>Tulu!$C$7*12</f>
        <v>60</v>
      </c>
      <c r="Q8" s="171">
        <f>Tulu!$C$7*12</f>
        <v>60</v>
      </c>
      <c r="R8" s="171">
        <f>Tulu!$C$7*12</f>
        <v>60</v>
      </c>
      <c r="S8" s="163"/>
      <c r="T8" s="163"/>
    </row>
    <row r="9" spans="1:20" ht="15.75" customHeight="1" x14ac:dyDescent="0.35">
      <c r="A9" s="955"/>
      <c r="B9" s="876" t="s">
        <v>1</v>
      </c>
      <c r="C9" s="877" t="s">
        <v>3</v>
      </c>
      <c r="D9" s="172">
        <f t="shared" ref="D9:L9" si="3">D7*D8</f>
        <v>0</v>
      </c>
      <c r="E9" s="172">
        <f t="shared" si="3"/>
        <v>0</v>
      </c>
      <c r="F9" s="172">
        <f t="shared" si="3"/>
        <v>176787.00000000009</v>
      </c>
      <c r="G9" s="172">
        <f t="shared" si="3"/>
        <v>176787.00000000009</v>
      </c>
      <c r="H9" s="172">
        <f t="shared" si="3"/>
        <v>176787.00000000009</v>
      </c>
      <c r="I9" s="172">
        <f t="shared" si="3"/>
        <v>176787.00000000009</v>
      </c>
      <c r="J9" s="172">
        <f t="shared" si="3"/>
        <v>176787.00000000009</v>
      </c>
      <c r="K9" s="172">
        <f t="shared" si="3"/>
        <v>176787.00000000009</v>
      </c>
      <c r="L9" s="172">
        <f t="shared" si="3"/>
        <v>176787.00000000009</v>
      </c>
      <c r="M9" s="172">
        <f t="shared" ref="M9" si="4">M7*M8</f>
        <v>176787.00000000009</v>
      </c>
      <c r="N9" s="172">
        <f t="shared" ref="N9" si="5">N7*N8</f>
        <v>176787.00000000009</v>
      </c>
      <c r="O9" s="172">
        <f t="shared" ref="O9" si="6">O7*O8</f>
        <v>176787.00000000009</v>
      </c>
      <c r="P9" s="172">
        <f t="shared" ref="P9" si="7">P7*P8</f>
        <v>176787.00000000009</v>
      </c>
      <c r="Q9" s="172">
        <f t="shared" ref="Q9" si="8">Q7*Q8</f>
        <v>176787.00000000009</v>
      </c>
      <c r="R9" s="172">
        <f t="shared" ref="R9" si="9">R7*R8</f>
        <v>176787.00000000009</v>
      </c>
      <c r="S9" s="163"/>
      <c r="T9" s="163"/>
    </row>
    <row r="10" spans="1:20" ht="4.5" customHeight="1" x14ac:dyDescent="0.35">
      <c r="A10" s="878"/>
      <c r="B10" s="879"/>
      <c r="C10" s="880"/>
      <c r="D10" s="174"/>
      <c r="E10" s="174"/>
      <c r="F10" s="174"/>
      <c r="G10" s="174"/>
      <c r="H10" s="174"/>
      <c r="I10" s="174"/>
      <c r="J10" s="174"/>
      <c r="K10" s="174"/>
      <c r="L10" s="174"/>
      <c r="M10" s="174"/>
      <c r="N10" s="174"/>
      <c r="O10" s="174"/>
      <c r="P10" s="174"/>
      <c r="Q10" s="174"/>
      <c r="R10" s="175"/>
      <c r="S10" s="163"/>
      <c r="T10" s="163"/>
    </row>
    <row r="11" spans="1:20" x14ac:dyDescent="0.35">
      <c r="A11" s="955" t="s">
        <v>608</v>
      </c>
      <c r="B11" s="874" t="s">
        <v>64</v>
      </c>
      <c r="C11" s="875" t="s">
        <v>337</v>
      </c>
      <c r="D11" s="171"/>
      <c r="E11" s="171"/>
      <c r="F11" s="171">
        <f>Eeldused_muugi!F11</f>
        <v>137.64999999999998</v>
      </c>
      <c r="G11" s="171">
        <f>Eeldused_muugi!G11</f>
        <v>137.64999999999998</v>
      </c>
      <c r="H11" s="171">
        <f>Eeldused_muugi!H11</f>
        <v>137.64999999999998</v>
      </c>
      <c r="I11" s="171">
        <f>Eeldused_muugi!I11</f>
        <v>137.64999999999998</v>
      </c>
      <c r="J11" s="171">
        <f>Eeldused_muugi!J11</f>
        <v>137.64999999999998</v>
      </c>
      <c r="K11" s="171">
        <f>Eeldused_muugi!K11</f>
        <v>137.64999999999998</v>
      </c>
      <c r="L11" s="171">
        <f>Eeldused_muugi!L11</f>
        <v>137.64999999999998</v>
      </c>
      <c r="M11" s="171">
        <f>Eeldused_muugi!M11</f>
        <v>137.64999999999998</v>
      </c>
      <c r="N11" s="171">
        <f>Eeldused_muugi!N11</f>
        <v>137.64999999999998</v>
      </c>
      <c r="O11" s="171">
        <f>Eeldused_muugi!O11</f>
        <v>137.64999999999998</v>
      </c>
      <c r="P11" s="171">
        <f>Eeldused_muugi!P11</f>
        <v>137.64999999999998</v>
      </c>
      <c r="Q11" s="171">
        <f>Eeldused_muugi!Q11</f>
        <v>137.64999999999998</v>
      </c>
      <c r="R11" s="171">
        <f>Eeldused_muugi!R11</f>
        <v>137.64999999999998</v>
      </c>
      <c r="S11" s="163"/>
      <c r="T11" s="163"/>
    </row>
    <row r="12" spans="1:20" x14ac:dyDescent="0.35">
      <c r="A12" s="955"/>
      <c r="B12" s="874" t="s">
        <v>0</v>
      </c>
      <c r="C12" s="875" t="s">
        <v>609</v>
      </c>
      <c r="D12" s="171"/>
      <c r="E12" s="171"/>
      <c r="F12" s="171">
        <f>Tulu!$C$9*12</f>
        <v>60</v>
      </c>
      <c r="G12" s="171">
        <f>Tulu!$C$9*12</f>
        <v>60</v>
      </c>
      <c r="H12" s="171">
        <f>Tulu!$C$9*12</f>
        <v>60</v>
      </c>
      <c r="I12" s="171">
        <f>Tulu!$C$9*12</f>
        <v>60</v>
      </c>
      <c r="J12" s="171">
        <f>Tulu!$C$9*12</f>
        <v>60</v>
      </c>
      <c r="K12" s="171">
        <f>Tulu!$C$9*12</f>
        <v>60</v>
      </c>
      <c r="L12" s="171">
        <f>Tulu!$C$9*12</f>
        <v>60</v>
      </c>
      <c r="M12" s="171">
        <f>Tulu!$C$9*12</f>
        <v>60</v>
      </c>
      <c r="N12" s="171">
        <f>Tulu!$C$9*12</f>
        <v>60</v>
      </c>
      <c r="O12" s="171">
        <f>Tulu!$C$9*12</f>
        <v>60</v>
      </c>
      <c r="P12" s="171">
        <f>Tulu!$C$9*12</f>
        <v>60</v>
      </c>
      <c r="Q12" s="171">
        <f>Tulu!$C$9*12</f>
        <v>60</v>
      </c>
      <c r="R12" s="171">
        <f>Tulu!$C$9*12</f>
        <v>60</v>
      </c>
      <c r="S12" s="163"/>
      <c r="T12" s="163"/>
    </row>
    <row r="13" spans="1:20" x14ac:dyDescent="0.35">
      <c r="A13" s="955"/>
      <c r="B13" s="876" t="s">
        <v>1</v>
      </c>
      <c r="C13" s="877" t="s">
        <v>3</v>
      </c>
      <c r="D13" s="172">
        <f t="shared" ref="D13:L13" si="10">D11*D12</f>
        <v>0</v>
      </c>
      <c r="E13" s="172">
        <f t="shared" si="10"/>
        <v>0</v>
      </c>
      <c r="F13" s="172">
        <f t="shared" si="10"/>
        <v>8258.9999999999982</v>
      </c>
      <c r="G13" s="172">
        <f t="shared" si="10"/>
        <v>8258.9999999999982</v>
      </c>
      <c r="H13" s="172">
        <f t="shared" si="10"/>
        <v>8258.9999999999982</v>
      </c>
      <c r="I13" s="172">
        <f t="shared" si="10"/>
        <v>8258.9999999999982</v>
      </c>
      <c r="J13" s="172">
        <f t="shared" si="10"/>
        <v>8258.9999999999982</v>
      </c>
      <c r="K13" s="172">
        <f t="shared" si="10"/>
        <v>8258.9999999999982</v>
      </c>
      <c r="L13" s="172">
        <f t="shared" si="10"/>
        <v>8258.9999999999982</v>
      </c>
      <c r="M13" s="172">
        <f t="shared" ref="M13" si="11">M11*M12</f>
        <v>8258.9999999999982</v>
      </c>
      <c r="N13" s="172">
        <f t="shared" ref="N13" si="12">N11*N12</f>
        <v>8258.9999999999982</v>
      </c>
      <c r="O13" s="172">
        <f t="shared" ref="O13" si="13">O11*O12</f>
        <v>8258.9999999999982</v>
      </c>
      <c r="P13" s="172">
        <f t="shared" ref="P13" si="14">P11*P12</f>
        <v>8258.9999999999982</v>
      </c>
      <c r="Q13" s="172">
        <f t="shared" ref="Q13" si="15">Q11*Q12</f>
        <v>8258.9999999999982</v>
      </c>
      <c r="R13" s="172">
        <f t="shared" ref="R13" si="16">R11*R12</f>
        <v>8258.9999999999982</v>
      </c>
      <c r="S13" s="163"/>
      <c r="T13" s="163"/>
    </row>
    <row r="14" spans="1:20" ht="4.5" customHeight="1" x14ac:dyDescent="0.35">
      <c r="A14" s="878"/>
      <c r="B14" s="879"/>
      <c r="C14" s="880"/>
      <c r="D14" s="174"/>
      <c r="E14" s="174"/>
      <c r="F14" s="174"/>
      <c r="G14" s="174"/>
      <c r="H14" s="174"/>
      <c r="I14" s="174"/>
      <c r="J14" s="174"/>
      <c r="K14" s="174"/>
      <c r="L14" s="174"/>
      <c r="M14" s="174"/>
      <c r="N14" s="174"/>
      <c r="O14" s="174"/>
      <c r="P14" s="174"/>
      <c r="Q14" s="174"/>
      <c r="R14" s="175"/>
      <c r="S14" s="163"/>
      <c r="T14" s="163"/>
    </row>
    <row r="15" spans="1:20" hidden="1" x14ac:dyDescent="0.35">
      <c r="A15" s="955" t="s">
        <v>9</v>
      </c>
      <c r="B15" s="874" t="s">
        <v>65</v>
      </c>
      <c r="C15" s="875"/>
      <c r="D15" s="171"/>
      <c r="E15" s="171"/>
      <c r="F15" s="171"/>
      <c r="G15" s="171"/>
      <c r="H15" s="171"/>
      <c r="I15" s="171"/>
      <c r="J15" s="171"/>
      <c r="K15" s="171"/>
      <c r="L15" s="171"/>
      <c r="M15" s="171"/>
      <c r="N15" s="171"/>
      <c r="O15" s="171"/>
      <c r="P15" s="171"/>
      <c r="Q15" s="171"/>
      <c r="R15" s="171"/>
      <c r="S15" s="163"/>
      <c r="T15" s="163"/>
    </row>
    <row r="16" spans="1:20" hidden="1" x14ac:dyDescent="0.35">
      <c r="A16" s="955"/>
      <c r="B16" s="874" t="s">
        <v>0</v>
      </c>
      <c r="C16" s="875" t="s">
        <v>3</v>
      </c>
      <c r="D16" s="171"/>
      <c r="E16" s="171"/>
      <c r="F16" s="171"/>
      <c r="G16" s="171"/>
      <c r="H16" s="171"/>
      <c r="I16" s="171"/>
      <c r="J16" s="171"/>
      <c r="K16" s="171"/>
      <c r="L16" s="171"/>
      <c r="M16" s="171"/>
      <c r="N16" s="171"/>
      <c r="O16" s="171"/>
      <c r="P16" s="171"/>
      <c r="Q16" s="171"/>
      <c r="R16" s="171"/>
      <c r="S16" s="163"/>
      <c r="T16" s="163"/>
    </row>
    <row r="17" spans="1:20" hidden="1" x14ac:dyDescent="0.35">
      <c r="A17" s="955"/>
      <c r="B17" s="876" t="s">
        <v>1</v>
      </c>
      <c r="C17" s="877" t="s">
        <v>3</v>
      </c>
      <c r="D17" s="172">
        <f t="shared" ref="D17:L17" si="17">D15*D16</f>
        <v>0</v>
      </c>
      <c r="E17" s="172">
        <f t="shared" si="17"/>
        <v>0</v>
      </c>
      <c r="F17" s="172">
        <f t="shared" si="17"/>
        <v>0</v>
      </c>
      <c r="G17" s="172">
        <f t="shared" si="17"/>
        <v>0</v>
      </c>
      <c r="H17" s="172">
        <f t="shared" si="17"/>
        <v>0</v>
      </c>
      <c r="I17" s="172">
        <f t="shared" si="17"/>
        <v>0</v>
      </c>
      <c r="J17" s="172">
        <f t="shared" si="17"/>
        <v>0</v>
      </c>
      <c r="K17" s="172">
        <f t="shared" si="17"/>
        <v>0</v>
      </c>
      <c r="L17" s="172">
        <f t="shared" si="17"/>
        <v>0</v>
      </c>
      <c r="M17" s="172">
        <f t="shared" ref="M17" si="18">M15*M16</f>
        <v>0</v>
      </c>
      <c r="N17" s="172">
        <f t="shared" ref="N17" si="19">N15*N16</f>
        <v>0</v>
      </c>
      <c r="O17" s="172">
        <f t="shared" ref="O17" si="20">O15*O16</f>
        <v>0</v>
      </c>
      <c r="P17" s="172">
        <f t="shared" ref="P17" si="21">P15*P16</f>
        <v>0</v>
      </c>
      <c r="Q17" s="172">
        <f t="shared" ref="Q17" si="22">Q15*Q16</f>
        <v>0</v>
      </c>
      <c r="R17" s="172">
        <f t="shared" ref="R17" si="23">R15*R16</f>
        <v>0</v>
      </c>
      <c r="S17" s="163"/>
      <c r="T17" s="163"/>
    </row>
    <row r="18" spans="1:20" ht="4.5" hidden="1" customHeight="1" x14ac:dyDescent="0.35">
      <c r="A18" s="878"/>
      <c r="B18" s="879"/>
      <c r="C18" s="880"/>
      <c r="D18" s="174"/>
      <c r="E18" s="174"/>
      <c r="F18" s="174"/>
      <c r="G18" s="174"/>
      <c r="H18" s="174"/>
      <c r="I18" s="174"/>
      <c r="J18" s="174"/>
      <c r="K18" s="174"/>
      <c r="L18" s="174"/>
      <c r="M18" s="174"/>
      <c r="N18" s="174"/>
      <c r="O18" s="174"/>
      <c r="P18" s="174"/>
      <c r="Q18" s="174"/>
      <c r="R18" s="175"/>
      <c r="S18" s="163"/>
      <c r="T18" s="163"/>
    </row>
    <row r="19" spans="1:20" hidden="1" x14ac:dyDescent="0.35">
      <c r="A19" s="955" t="s">
        <v>10</v>
      </c>
      <c r="B19" s="874" t="s">
        <v>66</v>
      </c>
      <c r="C19" s="875"/>
      <c r="D19" s="171"/>
      <c r="E19" s="171"/>
      <c r="F19" s="171"/>
      <c r="G19" s="171"/>
      <c r="H19" s="171"/>
      <c r="I19" s="171"/>
      <c r="J19" s="171"/>
      <c r="K19" s="171"/>
      <c r="L19" s="171"/>
      <c r="M19" s="171"/>
      <c r="N19" s="171"/>
      <c r="O19" s="171"/>
      <c r="P19" s="171"/>
      <c r="Q19" s="171"/>
      <c r="R19" s="171"/>
      <c r="S19" s="163"/>
      <c r="T19" s="163"/>
    </row>
    <row r="20" spans="1:20" hidden="1" x14ac:dyDescent="0.35">
      <c r="A20" s="955"/>
      <c r="B20" s="874" t="s">
        <v>0</v>
      </c>
      <c r="C20" s="875" t="s">
        <v>3</v>
      </c>
      <c r="D20" s="171"/>
      <c r="E20" s="171"/>
      <c r="F20" s="171"/>
      <c r="G20" s="171"/>
      <c r="H20" s="171"/>
      <c r="I20" s="171"/>
      <c r="J20" s="171"/>
      <c r="K20" s="171"/>
      <c r="L20" s="171"/>
      <c r="M20" s="171"/>
      <c r="N20" s="171"/>
      <c r="O20" s="171"/>
      <c r="P20" s="171"/>
      <c r="Q20" s="171"/>
      <c r="R20" s="171"/>
      <c r="S20" s="163"/>
      <c r="T20" s="163"/>
    </row>
    <row r="21" spans="1:20" hidden="1" x14ac:dyDescent="0.35">
      <c r="A21" s="955"/>
      <c r="B21" s="876" t="s">
        <v>1</v>
      </c>
      <c r="C21" s="877" t="s">
        <v>3</v>
      </c>
      <c r="D21" s="172">
        <f t="shared" ref="D21:L21" si="24">D19*D20</f>
        <v>0</v>
      </c>
      <c r="E21" s="172">
        <f t="shared" si="24"/>
        <v>0</v>
      </c>
      <c r="F21" s="172">
        <f t="shared" si="24"/>
        <v>0</v>
      </c>
      <c r="G21" s="172">
        <f t="shared" si="24"/>
        <v>0</v>
      </c>
      <c r="H21" s="172">
        <f t="shared" si="24"/>
        <v>0</v>
      </c>
      <c r="I21" s="172">
        <f t="shared" si="24"/>
        <v>0</v>
      </c>
      <c r="J21" s="172">
        <f t="shared" si="24"/>
        <v>0</v>
      </c>
      <c r="K21" s="172">
        <f t="shared" si="24"/>
        <v>0</v>
      </c>
      <c r="L21" s="172">
        <f t="shared" si="24"/>
        <v>0</v>
      </c>
      <c r="M21" s="172">
        <f t="shared" ref="M21" si="25">M19*M20</f>
        <v>0</v>
      </c>
      <c r="N21" s="172">
        <f t="shared" ref="N21" si="26">N19*N20</f>
        <v>0</v>
      </c>
      <c r="O21" s="172">
        <f t="shared" ref="O21" si="27">O19*O20</f>
        <v>0</v>
      </c>
      <c r="P21" s="172">
        <f t="shared" ref="P21" si="28">P19*P20</f>
        <v>0</v>
      </c>
      <c r="Q21" s="172">
        <f t="shared" ref="Q21" si="29">Q19*Q20</f>
        <v>0</v>
      </c>
      <c r="R21" s="172">
        <f t="shared" ref="R21" si="30">R19*R20</f>
        <v>0</v>
      </c>
      <c r="S21" s="163"/>
      <c r="T21" s="163"/>
    </row>
    <row r="22" spans="1:20" ht="4.5" hidden="1" customHeight="1" x14ac:dyDescent="0.35">
      <c r="A22" s="878"/>
      <c r="B22" s="879"/>
      <c r="C22" s="880"/>
      <c r="D22" s="174"/>
      <c r="E22" s="174"/>
      <c r="F22" s="174"/>
      <c r="G22" s="174"/>
      <c r="H22" s="174"/>
      <c r="I22" s="174"/>
      <c r="J22" s="174"/>
      <c r="K22" s="174"/>
      <c r="L22" s="174"/>
      <c r="M22" s="174"/>
      <c r="N22" s="174"/>
      <c r="O22" s="174"/>
      <c r="P22" s="174"/>
      <c r="Q22" s="174"/>
      <c r="R22" s="175"/>
      <c r="S22" s="163"/>
      <c r="T22" s="163"/>
    </row>
    <row r="23" spans="1:20" hidden="1" x14ac:dyDescent="0.35">
      <c r="A23" s="955" t="s">
        <v>11</v>
      </c>
      <c r="B23" s="874" t="s">
        <v>67</v>
      </c>
      <c r="C23" s="875"/>
      <c r="D23" s="171"/>
      <c r="E23" s="171"/>
      <c r="F23" s="171"/>
      <c r="G23" s="171"/>
      <c r="H23" s="171"/>
      <c r="I23" s="171"/>
      <c r="J23" s="171"/>
      <c r="K23" s="171"/>
      <c r="L23" s="171"/>
      <c r="M23" s="171"/>
      <c r="N23" s="171"/>
      <c r="O23" s="171"/>
      <c r="P23" s="171"/>
      <c r="Q23" s="171"/>
      <c r="R23" s="171"/>
      <c r="S23" s="163"/>
      <c r="T23" s="163"/>
    </row>
    <row r="24" spans="1:20" hidden="1" x14ac:dyDescent="0.35">
      <c r="A24" s="955"/>
      <c r="B24" s="874" t="s">
        <v>0</v>
      </c>
      <c r="C24" s="875" t="s">
        <v>3</v>
      </c>
      <c r="D24" s="171"/>
      <c r="E24" s="171"/>
      <c r="F24" s="171"/>
      <c r="G24" s="171"/>
      <c r="H24" s="171"/>
      <c r="I24" s="171"/>
      <c r="J24" s="171"/>
      <c r="K24" s="171"/>
      <c r="L24" s="171"/>
      <c r="M24" s="171"/>
      <c r="N24" s="171"/>
      <c r="O24" s="171"/>
      <c r="P24" s="171"/>
      <c r="Q24" s="171"/>
      <c r="R24" s="171"/>
      <c r="S24" s="163"/>
      <c r="T24" s="163"/>
    </row>
    <row r="25" spans="1:20" hidden="1" x14ac:dyDescent="0.35">
      <c r="A25" s="955"/>
      <c r="B25" s="876" t="s">
        <v>1</v>
      </c>
      <c r="C25" s="877" t="s">
        <v>3</v>
      </c>
      <c r="D25" s="172">
        <f t="shared" ref="D25:L25" si="31">D23*D24</f>
        <v>0</v>
      </c>
      <c r="E25" s="172">
        <f t="shared" si="31"/>
        <v>0</v>
      </c>
      <c r="F25" s="172">
        <f t="shared" si="31"/>
        <v>0</v>
      </c>
      <c r="G25" s="172">
        <f t="shared" si="31"/>
        <v>0</v>
      </c>
      <c r="H25" s="172">
        <f t="shared" si="31"/>
        <v>0</v>
      </c>
      <c r="I25" s="172">
        <f t="shared" si="31"/>
        <v>0</v>
      </c>
      <c r="J25" s="172">
        <f t="shared" si="31"/>
        <v>0</v>
      </c>
      <c r="K25" s="172">
        <f t="shared" si="31"/>
        <v>0</v>
      </c>
      <c r="L25" s="172">
        <f t="shared" si="31"/>
        <v>0</v>
      </c>
      <c r="M25" s="172">
        <f t="shared" ref="M25" si="32">M23*M24</f>
        <v>0</v>
      </c>
      <c r="N25" s="172">
        <f t="shared" ref="N25" si="33">N23*N24</f>
        <v>0</v>
      </c>
      <c r="O25" s="172">
        <f t="shared" ref="O25" si="34">O23*O24</f>
        <v>0</v>
      </c>
      <c r="P25" s="172">
        <f t="shared" ref="P25" si="35">P23*P24</f>
        <v>0</v>
      </c>
      <c r="Q25" s="172">
        <f t="shared" ref="Q25" si="36">Q23*Q24</f>
        <v>0</v>
      </c>
      <c r="R25" s="172">
        <f t="shared" ref="R25" si="37">R23*R24</f>
        <v>0</v>
      </c>
      <c r="S25" s="163"/>
      <c r="T25" s="163"/>
    </row>
    <row r="26" spans="1:20" ht="4.5" customHeight="1" x14ac:dyDescent="0.35">
      <c r="A26" s="878"/>
      <c r="B26" s="879"/>
      <c r="C26" s="880"/>
      <c r="D26" s="174"/>
      <c r="E26" s="174"/>
      <c r="F26" s="174"/>
      <c r="G26" s="174"/>
      <c r="H26" s="174"/>
      <c r="I26" s="174"/>
      <c r="J26" s="174"/>
      <c r="K26" s="174"/>
      <c r="L26" s="174"/>
      <c r="M26" s="174"/>
      <c r="N26" s="174"/>
      <c r="O26" s="174"/>
      <c r="P26" s="174"/>
      <c r="Q26" s="174"/>
      <c r="R26" s="175"/>
      <c r="S26" s="163"/>
      <c r="T26" s="163"/>
    </row>
    <row r="27" spans="1:20" hidden="1" outlineLevel="1" x14ac:dyDescent="0.35">
      <c r="A27" s="955" t="s">
        <v>12</v>
      </c>
      <c r="B27" s="874" t="s">
        <v>68</v>
      </c>
      <c r="C27" s="875"/>
      <c r="D27" s="171"/>
      <c r="E27" s="171"/>
      <c r="F27" s="171"/>
      <c r="G27" s="171"/>
      <c r="H27" s="171"/>
      <c r="I27" s="171"/>
      <c r="J27" s="171"/>
      <c r="K27" s="171"/>
      <c r="L27" s="171"/>
      <c r="M27" s="171"/>
      <c r="N27" s="171"/>
      <c r="O27" s="171"/>
      <c r="P27" s="171"/>
      <c r="Q27" s="171"/>
      <c r="R27" s="171"/>
      <c r="S27" s="163"/>
      <c r="T27" s="163"/>
    </row>
    <row r="28" spans="1:20" hidden="1" outlineLevel="1" x14ac:dyDescent="0.35">
      <c r="A28" s="955"/>
      <c r="B28" s="874" t="s">
        <v>0</v>
      </c>
      <c r="C28" s="875"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955"/>
      <c r="B29" s="876" t="s">
        <v>1</v>
      </c>
      <c r="C29" s="877" t="s">
        <v>3</v>
      </c>
      <c r="D29" s="172">
        <f t="shared" ref="D29:L29" si="38">D27*D28</f>
        <v>0</v>
      </c>
      <c r="E29" s="172">
        <f t="shared" si="38"/>
        <v>0</v>
      </c>
      <c r="F29" s="172">
        <f t="shared" si="38"/>
        <v>0</v>
      </c>
      <c r="G29" s="172">
        <f t="shared" si="38"/>
        <v>0</v>
      </c>
      <c r="H29" s="172">
        <f t="shared" si="38"/>
        <v>0</v>
      </c>
      <c r="I29" s="172">
        <f t="shared" si="38"/>
        <v>0</v>
      </c>
      <c r="J29" s="172">
        <f t="shared" si="38"/>
        <v>0</v>
      </c>
      <c r="K29" s="172">
        <f t="shared" si="38"/>
        <v>0</v>
      </c>
      <c r="L29" s="172">
        <f t="shared" si="38"/>
        <v>0</v>
      </c>
      <c r="M29" s="172">
        <f t="shared" ref="M29" si="39">M27*M28</f>
        <v>0</v>
      </c>
      <c r="N29" s="172">
        <f t="shared" ref="N29" si="40">N27*N28</f>
        <v>0</v>
      </c>
      <c r="O29" s="172">
        <f t="shared" ref="O29" si="41">O27*O28</f>
        <v>0</v>
      </c>
      <c r="P29" s="172">
        <f t="shared" ref="P29" si="42">P27*P28</f>
        <v>0</v>
      </c>
      <c r="Q29" s="172">
        <f t="shared" ref="Q29" si="43">Q27*Q28</f>
        <v>0</v>
      </c>
      <c r="R29" s="172">
        <f t="shared" ref="R29" si="44">R27*R28</f>
        <v>0</v>
      </c>
      <c r="S29" s="163"/>
      <c r="T29" s="163"/>
    </row>
    <row r="30" spans="1:20" ht="4.5" hidden="1" customHeight="1" outlineLevel="1" x14ac:dyDescent="0.35">
      <c r="A30" s="878"/>
      <c r="B30" s="879"/>
      <c r="C30" s="880"/>
      <c r="D30" s="174"/>
      <c r="E30" s="174"/>
      <c r="F30" s="174"/>
      <c r="G30" s="174"/>
      <c r="H30" s="174"/>
      <c r="I30" s="174"/>
      <c r="J30" s="174"/>
      <c r="K30" s="174"/>
      <c r="L30" s="174"/>
      <c r="M30" s="174"/>
      <c r="N30" s="174"/>
      <c r="O30" s="174"/>
      <c r="P30" s="174"/>
      <c r="Q30" s="174"/>
      <c r="R30" s="175"/>
      <c r="S30" s="163"/>
      <c r="T30" s="163"/>
    </row>
    <row r="31" spans="1:20" hidden="1" outlineLevel="1" x14ac:dyDescent="0.35">
      <c r="A31" s="955" t="s">
        <v>13</v>
      </c>
      <c r="B31" s="874" t="s">
        <v>69</v>
      </c>
      <c r="C31" s="875"/>
      <c r="D31" s="171"/>
      <c r="E31" s="171"/>
      <c r="F31" s="171"/>
      <c r="G31" s="171"/>
      <c r="H31" s="171"/>
      <c r="I31" s="171"/>
      <c r="J31" s="171"/>
      <c r="K31" s="171"/>
      <c r="L31" s="171"/>
      <c r="M31" s="171"/>
      <c r="N31" s="171"/>
      <c r="O31" s="171"/>
      <c r="P31" s="171"/>
      <c r="Q31" s="171"/>
      <c r="R31" s="171"/>
      <c r="S31" s="163"/>
      <c r="T31" s="163"/>
    </row>
    <row r="32" spans="1:20" hidden="1" outlineLevel="1" x14ac:dyDescent="0.35">
      <c r="A32" s="955"/>
      <c r="B32" s="874" t="s">
        <v>0</v>
      </c>
      <c r="C32" s="875"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955"/>
      <c r="B33" s="876" t="s">
        <v>1</v>
      </c>
      <c r="C33" s="877" t="s">
        <v>3</v>
      </c>
      <c r="D33" s="172">
        <f t="shared" ref="D33:L33" si="45">D31*D32</f>
        <v>0</v>
      </c>
      <c r="E33" s="172">
        <f t="shared" si="45"/>
        <v>0</v>
      </c>
      <c r="F33" s="172">
        <f t="shared" si="45"/>
        <v>0</v>
      </c>
      <c r="G33" s="172">
        <f t="shared" si="45"/>
        <v>0</v>
      </c>
      <c r="H33" s="172">
        <f t="shared" si="45"/>
        <v>0</v>
      </c>
      <c r="I33" s="172">
        <f t="shared" si="45"/>
        <v>0</v>
      </c>
      <c r="J33" s="172">
        <f t="shared" si="45"/>
        <v>0</v>
      </c>
      <c r="K33" s="172">
        <f t="shared" si="45"/>
        <v>0</v>
      </c>
      <c r="L33" s="172">
        <f t="shared" si="45"/>
        <v>0</v>
      </c>
      <c r="M33" s="172">
        <f t="shared" ref="M33" si="46">M31*M32</f>
        <v>0</v>
      </c>
      <c r="N33" s="172">
        <f t="shared" ref="N33" si="47">N31*N32</f>
        <v>0</v>
      </c>
      <c r="O33" s="172">
        <f t="shared" ref="O33" si="48">O31*O32</f>
        <v>0</v>
      </c>
      <c r="P33" s="172">
        <f t="shared" ref="P33" si="49">P31*P32</f>
        <v>0</v>
      </c>
      <c r="Q33" s="172">
        <f t="shared" ref="Q33" si="50">Q31*Q32</f>
        <v>0</v>
      </c>
      <c r="R33" s="172">
        <f t="shared" ref="R33" si="51">R31*R32</f>
        <v>0</v>
      </c>
      <c r="S33" s="163"/>
      <c r="T33" s="163"/>
    </row>
    <row r="34" spans="1:20" ht="4.5" hidden="1" customHeight="1" outlineLevel="1" x14ac:dyDescent="0.35">
      <c r="A34" s="878"/>
      <c r="B34" s="879"/>
      <c r="C34" s="880"/>
      <c r="D34" s="174"/>
      <c r="E34" s="174"/>
      <c r="F34" s="174"/>
      <c r="G34" s="174"/>
      <c r="H34" s="174"/>
      <c r="I34" s="174"/>
      <c r="J34" s="174"/>
      <c r="K34" s="174"/>
      <c r="L34" s="174"/>
      <c r="M34" s="174"/>
      <c r="N34" s="174"/>
      <c r="O34" s="174"/>
      <c r="P34" s="174"/>
      <c r="Q34" s="174"/>
      <c r="R34" s="175"/>
      <c r="S34" s="163"/>
      <c r="T34" s="163"/>
    </row>
    <row r="35" spans="1:20" hidden="1" outlineLevel="1" x14ac:dyDescent="0.35">
      <c r="A35" s="955" t="s">
        <v>14</v>
      </c>
      <c r="B35" s="874" t="s">
        <v>70</v>
      </c>
      <c r="C35" s="875"/>
      <c r="D35" s="171"/>
      <c r="E35" s="171"/>
      <c r="F35" s="171"/>
      <c r="G35" s="171"/>
      <c r="H35" s="171"/>
      <c r="I35" s="171"/>
      <c r="J35" s="171"/>
      <c r="K35" s="171"/>
      <c r="L35" s="171"/>
      <c r="M35" s="171"/>
      <c r="N35" s="171"/>
      <c r="O35" s="171"/>
      <c r="P35" s="171"/>
      <c r="Q35" s="171"/>
      <c r="R35" s="171"/>
      <c r="S35" s="163"/>
      <c r="T35" s="163"/>
    </row>
    <row r="36" spans="1:20" hidden="1" outlineLevel="1" x14ac:dyDescent="0.35">
      <c r="A36" s="955"/>
      <c r="B36" s="874" t="s">
        <v>0</v>
      </c>
      <c r="C36" s="875"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955"/>
      <c r="B37" s="876" t="s">
        <v>1</v>
      </c>
      <c r="C37" s="877" t="s">
        <v>3</v>
      </c>
      <c r="D37" s="172">
        <f t="shared" ref="D37:L37" si="52">D35*D36</f>
        <v>0</v>
      </c>
      <c r="E37" s="172">
        <f t="shared" si="52"/>
        <v>0</v>
      </c>
      <c r="F37" s="172">
        <f t="shared" si="52"/>
        <v>0</v>
      </c>
      <c r="G37" s="172">
        <f t="shared" si="52"/>
        <v>0</v>
      </c>
      <c r="H37" s="172">
        <f t="shared" si="52"/>
        <v>0</v>
      </c>
      <c r="I37" s="172">
        <f t="shared" si="52"/>
        <v>0</v>
      </c>
      <c r="J37" s="172">
        <f t="shared" si="52"/>
        <v>0</v>
      </c>
      <c r="K37" s="172">
        <f t="shared" si="52"/>
        <v>0</v>
      </c>
      <c r="L37" s="172">
        <f t="shared" si="52"/>
        <v>0</v>
      </c>
      <c r="M37" s="172">
        <f t="shared" ref="M37" si="53">M35*M36</f>
        <v>0</v>
      </c>
      <c r="N37" s="172">
        <f t="shared" ref="N37" si="54">N35*N36</f>
        <v>0</v>
      </c>
      <c r="O37" s="172">
        <f t="shared" ref="O37" si="55">O35*O36</f>
        <v>0</v>
      </c>
      <c r="P37" s="172">
        <f t="shared" ref="P37" si="56">P35*P36</f>
        <v>0</v>
      </c>
      <c r="Q37" s="172">
        <f t="shared" ref="Q37" si="57">Q35*Q36</f>
        <v>0</v>
      </c>
      <c r="R37" s="172">
        <f t="shared" ref="R37" si="58">R35*R36</f>
        <v>0</v>
      </c>
      <c r="S37" s="163"/>
      <c r="T37" s="163"/>
    </row>
    <row r="38" spans="1:20" ht="4.5" hidden="1" customHeight="1" outlineLevel="1" x14ac:dyDescent="0.35">
      <c r="A38" s="878"/>
      <c r="B38" s="879"/>
      <c r="C38" s="880"/>
      <c r="D38" s="174"/>
      <c r="E38" s="174"/>
      <c r="F38" s="174"/>
      <c r="G38" s="174"/>
      <c r="H38" s="174"/>
      <c r="I38" s="174"/>
      <c r="J38" s="174"/>
      <c r="K38" s="174"/>
      <c r="L38" s="174"/>
      <c r="M38" s="174"/>
      <c r="N38" s="174"/>
      <c r="O38" s="174"/>
      <c r="P38" s="174"/>
      <c r="Q38" s="174"/>
      <c r="R38" s="175"/>
      <c r="S38" s="163"/>
      <c r="T38" s="163"/>
    </row>
    <row r="39" spans="1:20" hidden="1" outlineLevel="1" x14ac:dyDescent="0.35">
      <c r="A39" s="955" t="s">
        <v>15</v>
      </c>
      <c r="B39" s="874" t="s">
        <v>71</v>
      </c>
      <c r="C39" s="875"/>
      <c r="D39" s="171"/>
      <c r="E39" s="171"/>
      <c r="F39" s="171"/>
      <c r="G39" s="171"/>
      <c r="H39" s="171"/>
      <c r="I39" s="171"/>
      <c r="J39" s="171"/>
      <c r="K39" s="171"/>
      <c r="L39" s="171"/>
      <c r="M39" s="171"/>
      <c r="N39" s="171"/>
      <c r="O39" s="171"/>
      <c r="P39" s="171"/>
      <c r="Q39" s="171"/>
      <c r="R39" s="171"/>
      <c r="S39" s="163"/>
      <c r="T39" s="163"/>
    </row>
    <row r="40" spans="1:20" hidden="1" outlineLevel="1" x14ac:dyDescent="0.35">
      <c r="A40" s="955"/>
      <c r="B40" s="874" t="s">
        <v>0</v>
      </c>
      <c r="C40" s="875"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955"/>
      <c r="B41" s="876" t="s">
        <v>1</v>
      </c>
      <c r="C41" s="877" t="s">
        <v>3</v>
      </c>
      <c r="D41" s="172">
        <f t="shared" ref="D41:L41" si="59">D39*D40</f>
        <v>0</v>
      </c>
      <c r="E41" s="172">
        <f t="shared" si="59"/>
        <v>0</v>
      </c>
      <c r="F41" s="172">
        <f t="shared" si="59"/>
        <v>0</v>
      </c>
      <c r="G41" s="172">
        <f t="shared" si="59"/>
        <v>0</v>
      </c>
      <c r="H41" s="172">
        <f t="shared" si="59"/>
        <v>0</v>
      </c>
      <c r="I41" s="172">
        <f t="shared" si="59"/>
        <v>0</v>
      </c>
      <c r="J41" s="172">
        <f t="shared" si="59"/>
        <v>0</v>
      </c>
      <c r="K41" s="172">
        <f t="shared" si="59"/>
        <v>0</v>
      </c>
      <c r="L41" s="172">
        <f t="shared" si="59"/>
        <v>0</v>
      </c>
      <c r="M41" s="172">
        <f t="shared" ref="M41" si="60">M39*M40</f>
        <v>0</v>
      </c>
      <c r="N41" s="172">
        <f t="shared" ref="N41" si="61">N39*N40</f>
        <v>0</v>
      </c>
      <c r="O41" s="172">
        <f t="shared" ref="O41" si="62">O39*O40</f>
        <v>0</v>
      </c>
      <c r="P41" s="172">
        <f t="shared" ref="P41" si="63">P39*P40</f>
        <v>0</v>
      </c>
      <c r="Q41" s="172">
        <f t="shared" ref="Q41" si="64">Q39*Q40</f>
        <v>0</v>
      </c>
      <c r="R41" s="172">
        <f t="shared" ref="R41" si="65">R39*R40</f>
        <v>0</v>
      </c>
      <c r="S41" s="163"/>
      <c r="T41" s="163"/>
    </row>
    <row r="42" spans="1:20" ht="4.5" hidden="1" customHeight="1" outlineLevel="1" x14ac:dyDescent="0.35">
      <c r="A42" s="878"/>
      <c r="B42" s="879"/>
      <c r="C42" s="880"/>
      <c r="D42" s="174"/>
      <c r="E42" s="174"/>
      <c r="F42" s="174"/>
      <c r="G42" s="174"/>
      <c r="H42" s="174"/>
      <c r="I42" s="174"/>
      <c r="J42" s="174"/>
      <c r="K42" s="174"/>
      <c r="L42" s="174"/>
      <c r="M42" s="174"/>
      <c r="N42" s="174"/>
      <c r="O42" s="174"/>
      <c r="P42" s="174"/>
      <c r="Q42" s="174"/>
      <c r="R42" s="175"/>
      <c r="S42" s="163"/>
      <c r="T42" s="163"/>
    </row>
    <row r="43" spans="1:20" hidden="1" outlineLevel="1" x14ac:dyDescent="0.35">
      <c r="A43" s="955" t="s">
        <v>16</v>
      </c>
      <c r="B43" s="874" t="s">
        <v>72</v>
      </c>
      <c r="C43" s="875"/>
      <c r="D43" s="171"/>
      <c r="E43" s="171"/>
      <c r="F43" s="171"/>
      <c r="G43" s="171"/>
      <c r="H43" s="171"/>
      <c r="I43" s="171"/>
      <c r="J43" s="171"/>
      <c r="K43" s="171"/>
      <c r="L43" s="171"/>
      <c r="M43" s="171"/>
      <c r="N43" s="171"/>
      <c r="O43" s="171"/>
      <c r="P43" s="171"/>
      <c r="Q43" s="171"/>
      <c r="R43" s="171"/>
      <c r="S43" s="163"/>
      <c r="T43" s="163"/>
    </row>
    <row r="44" spans="1:20" hidden="1" outlineLevel="1" x14ac:dyDescent="0.35">
      <c r="A44" s="955"/>
      <c r="B44" s="874" t="s">
        <v>0</v>
      </c>
      <c r="C44" s="875"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955"/>
      <c r="B45" s="876" t="s">
        <v>1</v>
      </c>
      <c r="C45" s="877" t="s">
        <v>3</v>
      </c>
      <c r="D45" s="172">
        <f t="shared" ref="D45:L45" si="66">D43*D44</f>
        <v>0</v>
      </c>
      <c r="E45" s="172">
        <f t="shared" si="66"/>
        <v>0</v>
      </c>
      <c r="F45" s="172">
        <f t="shared" si="66"/>
        <v>0</v>
      </c>
      <c r="G45" s="172">
        <f t="shared" si="66"/>
        <v>0</v>
      </c>
      <c r="H45" s="172">
        <f t="shared" si="66"/>
        <v>0</v>
      </c>
      <c r="I45" s="172">
        <f t="shared" si="66"/>
        <v>0</v>
      </c>
      <c r="J45" s="172">
        <f t="shared" si="66"/>
        <v>0</v>
      </c>
      <c r="K45" s="172">
        <f t="shared" si="66"/>
        <v>0</v>
      </c>
      <c r="L45" s="172">
        <f t="shared" si="66"/>
        <v>0</v>
      </c>
      <c r="M45" s="172">
        <f t="shared" ref="M45" si="67">M43*M44</f>
        <v>0</v>
      </c>
      <c r="N45" s="172">
        <f t="shared" ref="N45" si="68">N43*N44</f>
        <v>0</v>
      </c>
      <c r="O45" s="172">
        <f t="shared" ref="O45" si="69">O43*O44</f>
        <v>0</v>
      </c>
      <c r="P45" s="172">
        <f t="shared" ref="P45" si="70">P43*P44</f>
        <v>0</v>
      </c>
      <c r="Q45" s="172">
        <f t="shared" ref="Q45" si="71">Q43*Q44</f>
        <v>0</v>
      </c>
      <c r="R45" s="172">
        <f t="shared" ref="R45" si="72">R43*R44</f>
        <v>0</v>
      </c>
      <c r="S45" s="163"/>
      <c r="T45" s="163"/>
    </row>
    <row r="46" spans="1:20" ht="12" customHeight="1" collapsed="1" x14ac:dyDescent="0.35">
      <c r="A46" s="878"/>
      <c r="B46" s="879"/>
      <c r="C46" s="880"/>
      <c r="D46" s="174"/>
      <c r="E46" s="174"/>
      <c r="F46" s="174"/>
      <c r="G46" s="174"/>
      <c r="H46" s="174"/>
      <c r="I46" s="174"/>
      <c r="J46" s="174"/>
      <c r="K46" s="174"/>
      <c r="L46" s="174"/>
      <c r="M46" s="174"/>
      <c r="N46" s="174"/>
      <c r="O46" s="174"/>
      <c r="P46" s="174"/>
      <c r="Q46" s="174"/>
      <c r="R46" s="175"/>
      <c r="S46" s="163"/>
      <c r="T46" s="163"/>
    </row>
    <row r="47" spans="1:20" ht="30" customHeight="1" x14ac:dyDescent="0.35">
      <c r="A47" s="959" t="s">
        <v>610</v>
      </c>
      <c r="B47" s="960"/>
      <c r="C47" s="877" t="s">
        <v>3</v>
      </c>
      <c r="D47" s="171"/>
      <c r="E47" s="171"/>
      <c r="F47" s="171">
        <f>F84+F85+(Eeldused_muugi!F27+Eeldused_muugi!F30)*Sisendandmed!$C$7+(Eeldused_muugi!F35+Eeldused_muugi!F37)*Sisendandmed!$C$8</f>
        <v>54337.098012000024</v>
      </c>
      <c r="G47" s="171">
        <f>G84+G85+(Eeldused_muugi!G27+Eeldused_muugi!G30)*Sisendandmed!$C$7+(Eeldused_muugi!G35+Eeldused_muugi!G37)*Sisendandmed!$C$8</f>
        <v>54337.098012000024</v>
      </c>
      <c r="H47" s="171">
        <f>H84+H85+(Eeldused_muugi!H27+Eeldused_muugi!H30)*Sisendandmed!$C$7+(Eeldused_muugi!H35+Eeldused_muugi!H37)*Sisendandmed!$C$8</f>
        <v>54337.098012000024</v>
      </c>
      <c r="I47" s="171">
        <f>I84+I85+(Eeldused_muugi!I27+Eeldused_muugi!I30)*Sisendandmed!$C$7+(Eeldused_muugi!I35+Eeldused_muugi!I37)*Sisendandmed!$C$8</f>
        <v>54337.098012000024</v>
      </c>
      <c r="J47" s="171">
        <f>J84+J85+(Eeldused_muugi!J27+Eeldused_muugi!J30)*Sisendandmed!$C$7+(Eeldused_muugi!J35+Eeldused_muugi!J37)*Sisendandmed!$C$8</f>
        <v>54337.098012000024</v>
      </c>
      <c r="K47" s="171">
        <f>K84+K85+(Eeldused_muugi!K27+Eeldused_muugi!K30)*Sisendandmed!$C$7+(Eeldused_muugi!K35+Eeldused_muugi!K37)*Sisendandmed!$C$8</f>
        <v>54337.098012000024</v>
      </c>
      <c r="L47" s="171">
        <f>L84+L85+(Eeldused_muugi!L27+Eeldused_muugi!L30)*Sisendandmed!$C$7+(Eeldused_muugi!L35+Eeldused_muugi!L37)*Sisendandmed!$C$8</f>
        <v>54337.098012000024</v>
      </c>
      <c r="M47" s="171">
        <f>M84+M85+(Eeldused_muugi!M27+Eeldused_muugi!M30)*Sisendandmed!$C$7+(Eeldused_muugi!M35+Eeldused_muugi!M37)*Sisendandmed!$C$8</f>
        <v>54337.098012000024</v>
      </c>
      <c r="N47" s="171">
        <f>N84+N85+(Eeldused_muugi!N27+Eeldused_muugi!N30)*Sisendandmed!$C$7+(Eeldused_muugi!N35+Eeldused_muugi!N37)*Sisendandmed!$C$8</f>
        <v>54337.098012000024</v>
      </c>
      <c r="O47" s="171">
        <f>O84+O85+(Eeldused_muugi!O27+Eeldused_muugi!O30)*Sisendandmed!$C$7+(Eeldused_muugi!O35+Eeldused_muugi!O37)*Sisendandmed!$C$8</f>
        <v>54337.098012000024</v>
      </c>
      <c r="P47" s="171">
        <f>P84+P85+(Eeldused_muugi!P27+Eeldused_muugi!P30)*Sisendandmed!$C$7+(Eeldused_muugi!P35+Eeldused_muugi!P37)*Sisendandmed!$C$8</f>
        <v>54337.098012000024</v>
      </c>
      <c r="Q47" s="171">
        <f>Q84+Q85+(Eeldused_muugi!Q27+Eeldused_muugi!Q30)*Sisendandmed!$C$7+(Eeldused_muugi!Q35+Eeldused_muugi!Q37)*Sisendandmed!$C$8</f>
        <v>54337.098012000024</v>
      </c>
      <c r="R47" s="171">
        <f>R84+R85+(Eeldused_muugi!R27+Eeldused_muugi!R30)*Sisendandmed!$C$7+(Eeldused_muugi!R35+Eeldused_muugi!R37)*Sisendandmed!$C$8</f>
        <v>54337.098012000024</v>
      </c>
      <c r="S47" s="163"/>
      <c r="T47" s="163"/>
    </row>
    <row r="48" spans="1:20" ht="19.5" customHeight="1" x14ac:dyDescent="0.35">
      <c r="A48" s="959" t="s">
        <v>611</v>
      </c>
      <c r="B48" s="960"/>
      <c r="C48" s="877" t="s">
        <v>3</v>
      </c>
      <c r="D48" s="171"/>
      <c r="E48" s="171"/>
      <c r="F48" s="171">
        <f>(Eeldused_muugi!F32*Sisendandmed!$C$7+Eeldused_muugi!F38*Sisendandmed!$C$8+Eeldused_muugi!F62+Eeldused_muugi!F67+Eeldused_muugi!F73+Eeldused_muugi!F77)*Eeldused_muugi!F8</f>
        <v>23186.134035999999</v>
      </c>
      <c r="G48" s="171">
        <f>(Eeldused_muugi!G32*Sisendandmed!$C$7+Eeldused_muugi!G38*Sisendandmed!$C$8+Eeldused_muugi!G62+Eeldused_muugi!G67+Eeldused_muugi!G73+Eeldused_muugi!G77)*Eeldused_muugi!G8</f>
        <v>23186.134035999999</v>
      </c>
      <c r="H48" s="171">
        <f>(Eeldused_muugi!H32*Sisendandmed!$C$7+Eeldused_muugi!H38*Sisendandmed!$C$8+Eeldused_muugi!H62+Eeldused_muugi!H67+Eeldused_muugi!H73+Eeldused_muugi!H77)*Eeldused_muugi!H8</f>
        <v>23186.134035999999</v>
      </c>
      <c r="I48" s="171">
        <f>(Eeldused_muugi!I32*Sisendandmed!$C$7+Eeldused_muugi!I38*Sisendandmed!$C$8+Eeldused_muugi!I62+Eeldused_muugi!I67+Eeldused_muugi!I73+Eeldused_muugi!I77)*Eeldused_muugi!I8</f>
        <v>23186.134035999999</v>
      </c>
      <c r="J48" s="171">
        <f>(Eeldused_muugi!J32*Sisendandmed!$C$7+Eeldused_muugi!J38*Sisendandmed!$C$8+Eeldused_muugi!J62+Eeldused_muugi!J67+Eeldused_muugi!J73+Eeldused_muugi!J77)*Eeldused_muugi!J8</f>
        <v>23186.134035999999</v>
      </c>
      <c r="K48" s="171">
        <f>(Eeldused_muugi!K32*Sisendandmed!$C$7+Eeldused_muugi!K38*Sisendandmed!$C$8+Eeldused_muugi!K62+Eeldused_muugi!K67+Eeldused_muugi!K73+Eeldused_muugi!K77)*Eeldused_muugi!K8</f>
        <v>23186.134035999999</v>
      </c>
      <c r="L48" s="171">
        <f>(Eeldused_muugi!L32*Sisendandmed!$C$7+Eeldused_muugi!L38*Sisendandmed!$C$8+Eeldused_muugi!L62+Eeldused_muugi!L67+Eeldused_muugi!L73+Eeldused_muugi!L77)*Eeldused_muugi!L8</f>
        <v>23186.134035999999</v>
      </c>
      <c r="M48" s="171">
        <f>(Eeldused_muugi!M32*Sisendandmed!$C$7+Eeldused_muugi!M38*Sisendandmed!$C$8+Eeldused_muugi!M62+Eeldused_muugi!M67+Eeldused_muugi!M73+Eeldused_muugi!M77)*Eeldused_muugi!M8</f>
        <v>23186.134035999999</v>
      </c>
      <c r="N48" s="171">
        <f>(Eeldused_muugi!N32*Sisendandmed!$C$7+Eeldused_muugi!N38*Sisendandmed!$C$8+Eeldused_muugi!N62+Eeldused_muugi!N67+Eeldused_muugi!N73+Eeldused_muugi!N77)*Eeldused_muugi!N8</f>
        <v>23186.134035999999</v>
      </c>
      <c r="O48" s="171">
        <f>(Eeldused_muugi!O32*Sisendandmed!$C$7+Eeldused_muugi!O38*Sisendandmed!$C$8+Eeldused_muugi!O62+Eeldused_muugi!O67+Eeldused_muugi!O73+Eeldused_muugi!O77)*Eeldused_muugi!O8</f>
        <v>23186.134035999999</v>
      </c>
      <c r="P48" s="171">
        <f>(Eeldused_muugi!P32*Sisendandmed!$C$7+Eeldused_muugi!P38*Sisendandmed!$C$8+Eeldused_muugi!P62+Eeldused_muugi!P67+Eeldused_muugi!P73+Eeldused_muugi!P77)*Eeldused_muugi!P8</f>
        <v>23186.134035999999</v>
      </c>
      <c r="Q48" s="171">
        <f>(Eeldused_muugi!Q32*Sisendandmed!$C$7+Eeldused_muugi!Q38*Sisendandmed!$C$8+Eeldused_muugi!Q62+Eeldused_muugi!Q67+Eeldused_muugi!Q73+Eeldused_muugi!Q77)*Eeldused_muugi!Q8</f>
        <v>23186.134035999999</v>
      </c>
      <c r="R48" s="171">
        <f>(Eeldused_muugi!R32*Sisendandmed!$C$7+Eeldused_muugi!R38*Sisendandmed!$C$8+Eeldused_muugi!R62+Eeldused_muugi!R67+Eeldused_muugi!R73+Eeldused_muugi!R77)*Eeldused_muugi!R8</f>
        <v>23186.134035999999</v>
      </c>
      <c r="S48" s="163"/>
      <c r="T48" s="163"/>
    </row>
    <row r="49" spans="1:21" ht="18.75" hidden="1" customHeight="1" x14ac:dyDescent="0.35">
      <c r="A49" s="959" t="s">
        <v>156</v>
      </c>
      <c r="B49" s="960"/>
      <c r="C49" s="877" t="s">
        <v>3</v>
      </c>
      <c r="D49" s="171"/>
      <c r="E49" s="171"/>
      <c r="F49" s="171"/>
      <c r="G49" s="171"/>
      <c r="H49" s="171"/>
      <c r="I49" s="171"/>
      <c r="J49" s="171"/>
      <c r="K49" s="171"/>
      <c r="L49" s="171"/>
      <c r="M49" s="171"/>
      <c r="N49" s="171"/>
      <c r="O49" s="171"/>
      <c r="P49" s="171"/>
      <c r="Q49" s="171"/>
      <c r="R49" s="171"/>
      <c r="S49" s="163"/>
      <c r="T49" s="163"/>
    </row>
    <row r="50" spans="1:21" ht="18.75" hidden="1" customHeight="1" x14ac:dyDescent="0.35">
      <c r="A50" s="959" t="s">
        <v>156</v>
      </c>
      <c r="B50" s="960"/>
      <c r="C50" s="877" t="s">
        <v>3</v>
      </c>
      <c r="D50" s="171"/>
      <c r="E50" s="171"/>
      <c r="F50" s="171"/>
      <c r="G50" s="171"/>
      <c r="H50" s="171"/>
      <c r="I50" s="171"/>
      <c r="J50" s="171"/>
      <c r="K50" s="171"/>
      <c r="L50" s="171"/>
      <c r="M50" s="171"/>
      <c r="N50" s="171"/>
      <c r="O50" s="171"/>
      <c r="P50" s="171"/>
      <c r="Q50" s="171"/>
      <c r="R50" s="171"/>
      <c r="S50" s="163"/>
      <c r="T50" s="163"/>
    </row>
    <row r="51" spans="1:21" ht="18.75" hidden="1" customHeight="1" x14ac:dyDescent="0.35">
      <c r="A51" s="959" t="s">
        <v>156</v>
      </c>
      <c r="B51" s="960"/>
      <c r="C51" s="877" t="s">
        <v>3</v>
      </c>
      <c r="D51" s="171"/>
      <c r="E51" s="171"/>
      <c r="F51" s="171"/>
      <c r="G51" s="171"/>
      <c r="H51" s="171"/>
      <c r="I51" s="171"/>
      <c r="J51" s="171"/>
      <c r="K51" s="171"/>
      <c r="L51" s="171"/>
      <c r="M51" s="171"/>
      <c r="N51" s="171"/>
      <c r="O51" s="171"/>
      <c r="P51" s="171"/>
      <c r="Q51" s="171"/>
      <c r="R51" s="171"/>
      <c r="S51" s="163"/>
      <c r="T51" s="163"/>
    </row>
    <row r="52" spans="1:21" ht="4.5" customHeight="1" x14ac:dyDescent="0.35">
      <c r="A52" s="881"/>
      <c r="B52" s="882"/>
      <c r="C52" s="883"/>
      <c r="D52" s="160"/>
      <c r="E52" s="160"/>
      <c r="F52" s="160"/>
      <c r="G52" s="160"/>
      <c r="H52" s="160"/>
      <c r="I52" s="160"/>
      <c r="J52" s="160"/>
      <c r="K52" s="160"/>
      <c r="L52" s="160"/>
      <c r="M52" s="160"/>
      <c r="N52" s="160"/>
      <c r="O52" s="160"/>
      <c r="P52" s="160"/>
      <c r="Q52" s="160"/>
      <c r="R52" s="170"/>
      <c r="S52" s="163"/>
      <c r="T52" s="163"/>
    </row>
    <row r="53" spans="1:21" s="179" customFormat="1" ht="21" customHeight="1" x14ac:dyDescent="0.35">
      <c r="A53" s="953" t="s">
        <v>8</v>
      </c>
      <c r="B53" s="954"/>
      <c r="C53" s="884" t="s">
        <v>3</v>
      </c>
      <c r="D53" s="177">
        <f t="shared" ref="D53:L53" si="73">D9+D13+D17+D21+D25+D29+D33+D37+D41+D45+D47+D48+D49+D50+D51</f>
        <v>0</v>
      </c>
      <c r="E53" s="177">
        <f t="shared" si="73"/>
        <v>0</v>
      </c>
      <c r="F53" s="177">
        <f t="shared" si="73"/>
        <v>262569.23204800009</v>
      </c>
      <c r="G53" s="177">
        <f t="shared" si="73"/>
        <v>262569.23204800009</v>
      </c>
      <c r="H53" s="177">
        <f t="shared" si="73"/>
        <v>262569.23204800009</v>
      </c>
      <c r="I53" s="177">
        <f t="shared" si="73"/>
        <v>262569.23204800009</v>
      </c>
      <c r="J53" s="177">
        <f t="shared" si="73"/>
        <v>262569.23204800009</v>
      </c>
      <c r="K53" s="177">
        <f t="shared" si="73"/>
        <v>262569.23204800009</v>
      </c>
      <c r="L53" s="177">
        <f t="shared" si="73"/>
        <v>262569.23204800009</v>
      </c>
      <c r="M53" s="177">
        <f t="shared" ref="M53:R53" si="74">M9+M13+M17+M21+M25+M29+M33+M37+M41+M45+M47+M48+M49+M50+M51</f>
        <v>262569.23204800009</v>
      </c>
      <c r="N53" s="177">
        <f t="shared" si="74"/>
        <v>262569.23204800009</v>
      </c>
      <c r="O53" s="177">
        <f t="shared" si="74"/>
        <v>262569.23204800009</v>
      </c>
      <c r="P53" s="177">
        <f t="shared" si="74"/>
        <v>262569.23204800009</v>
      </c>
      <c r="Q53" s="177">
        <f t="shared" si="74"/>
        <v>262569.23204800009</v>
      </c>
      <c r="R53" s="177">
        <f t="shared" si="74"/>
        <v>262569.23204800009</v>
      </c>
      <c r="S53" s="178"/>
      <c r="T53" s="178"/>
    </row>
    <row r="54" spans="1:21" ht="4.5" customHeight="1" x14ac:dyDescent="0.35">
      <c r="A54" s="881"/>
      <c r="B54" s="882"/>
      <c r="C54" s="883"/>
      <c r="D54" s="160"/>
      <c r="E54" s="160"/>
      <c r="F54" s="160"/>
      <c r="G54" s="160"/>
      <c r="H54" s="160"/>
      <c r="I54" s="160"/>
      <c r="J54" s="160"/>
      <c r="K54" s="160"/>
      <c r="L54" s="160"/>
      <c r="M54" s="160"/>
      <c r="N54" s="160"/>
      <c r="O54" s="160"/>
      <c r="P54" s="160"/>
      <c r="Q54" s="160"/>
      <c r="R54" s="170"/>
      <c r="S54" s="163"/>
      <c r="T54" s="163"/>
    </row>
    <row r="55" spans="1:21" ht="9" customHeight="1" x14ac:dyDescent="0.35">
      <c r="A55" s="885"/>
      <c r="B55" s="886"/>
      <c r="C55" s="887"/>
      <c r="D55" s="163"/>
      <c r="E55" s="163"/>
      <c r="F55" s="163"/>
      <c r="G55" s="163"/>
      <c r="H55" s="163"/>
      <c r="I55" s="163"/>
      <c r="J55" s="163"/>
      <c r="K55" s="163"/>
      <c r="L55" s="163"/>
      <c r="M55" s="163"/>
      <c r="N55" s="163"/>
      <c r="O55" s="163"/>
      <c r="P55" s="163"/>
      <c r="Q55" s="163"/>
      <c r="R55" s="163"/>
      <c r="S55" s="163"/>
      <c r="T55" s="163"/>
    </row>
    <row r="56" spans="1:21" ht="15.5" x14ac:dyDescent="0.35">
      <c r="A56" s="888" t="s">
        <v>17</v>
      </c>
      <c r="B56" s="886"/>
      <c r="C56" s="887"/>
      <c r="D56" s="855"/>
      <c r="E56" s="163"/>
      <c r="F56" s="163"/>
      <c r="G56" s="163"/>
      <c r="H56" s="163"/>
      <c r="I56" s="163"/>
      <c r="J56" s="163"/>
      <c r="K56" s="163"/>
      <c r="L56" s="163"/>
      <c r="M56" s="163"/>
      <c r="N56" s="163"/>
      <c r="O56" s="163"/>
      <c r="P56" s="163"/>
      <c r="Q56" s="163"/>
      <c r="R56" s="163"/>
      <c r="S56" s="163"/>
      <c r="T56" s="163"/>
    </row>
    <row r="57" spans="1:21" ht="4.5" customHeight="1" x14ac:dyDescent="0.35">
      <c r="A57" s="881"/>
      <c r="B57" s="882"/>
      <c r="C57" s="883"/>
      <c r="D57" s="160"/>
      <c r="E57" s="160"/>
      <c r="F57" s="160"/>
      <c r="G57" s="160"/>
      <c r="H57" s="160"/>
      <c r="I57" s="160"/>
      <c r="J57" s="160"/>
      <c r="K57" s="160"/>
      <c r="L57" s="160"/>
      <c r="M57" s="160"/>
      <c r="N57" s="160"/>
      <c r="O57" s="160"/>
      <c r="P57" s="160"/>
      <c r="Q57" s="160"/>
      <c r="R57" s="170"/>
      <c r="S57" s="163"/>
      <c r="T57" s="163"/>
    </row>
    <row r="58" spans="1:21" x14ac:dyDescent="0.35">
      <c r="A58" s="955" t="s">
        <v>18</v>
      </c>
      <c r="B58" s="874" t="s">
        <v>633</v>
      </c>
      <c r="C58" s="875" t="s">
        <v>3</v>
      </c>
      <c r="D58" s="171"/>
      <c r="E58" s="171">
        <f>Kulud!C26*0.5*6</f>
        <v>6645</v>
      </c>
      <c r="F58" s="171">
        <f>Kulud!C26*0.5*12</f>
        <v>13290</v>
      </c>
      <c r="G58" s="171">
        <f>F58*1.05</f>
        <v>13954.5</v>
      </c>
      <c r="H58" s="171">
        <f>G58</f>
        <v>13954.5</v>
      </c>
      <c r="I58" s="171">
        <f>H58*1.05</f>
        <v>14652.225</v>
      </c>
      <c r="J58" s="171">
        <f>I58</f>
        <v>14652.225</v>
      </c>
      <c r="K58" s="171">
        <f>J58</f>
        <v>14652.225</v>
      </c>
      <c r="L58" s="171">
        <f t="shared" ref="L58:R58" si="75">K58</f>
        <v>14652.225</v>
      </c>
      <c r="M58" s="171">
        <f t="shared" si="75"/>
        <v>14652.225</v>
      </c>
      <c r="N58" s="171">
        <f t="shared" si="75"/>
        <v>14652.225</v>
      </c>
      <c r="O58" s="171">
        <f t="shared" si="75"/>
        <v>14652.225</v>
      </c>
      <c r="P58" s="171">
        <f t="shared" si="75"/>
        <v>14652.225</v>
      </c>
      <c r="Q58" s="171">
        <f t="shared" si="75"/>
        <v>14652.225</v>
      </c>
      <c r="R58" s="171">
        <f t="shared" si="75"/>
        <v>14652.225</v>
      </c>
      <c r="S58" s="182"/>
      <c r="T58" s="182"/>
      <c r="U58" s="183"/>
    </row>
    <row r="59" spans="1:21" x14ac:dyDescent="0.35">
      <c r="A59" s="955"/>
      <c r="B59" s="874" t="s">
        <v>634</v>
      </c>
      <c r="C59" s="875" t="s">
        <v>3</v>
      </c>
      <c r="D59" s="171"/>
      <c r="E59" s="171">
        <f>2825*1*6</f>
        <v>16950</v>
      </c>
      <c r="F59" s="171">
        <f>2825*1*12</f>
        <v>33900</v>
      </c>
      <c r="G59" s="171">
        <f>2970*1*12</f>
        <v>35640</v>
      </c>
      <c r="H59" s="171">
        <f>3121*1*12</f>
        <v>37452</v>
      </c>
      <c r="I59" s="171">
        <f>3121*1*12</f>
        <v>37452</v>
      </c>
      <c r="J59" s="171">
        <f>3121*1*12</f>
        <v>37452</v>
      </c>
      <c r="K59" s="171">
        <f>J59</f>
        <v>37452</v>
      </c>
      <c r="L59" s="171">
        <f t="shared" ref="L59:R60" si="76">K59</f>
        <v>37452</v>
      </c>
      <c r="M59" s="171">
        <f t="shared" si="76"/>
        <v>37452</v>
      </c>
      <c r="N59" s="171">
        <f t="shared" si="76"/>
        <v>37452</v>
      </c>
      <c r="O59" s="171">
        <f t="shared" si="76"/>
        <v>37452</v>
      </c>
      <c r="P59" s="171">
        <f t="shared" si="76"/>
        <v>37452</v>
      </c>
      <c r="Q59" s="171">
        <f t="shared" si="76"/>
        <v>37452</v>
      </c>
      <c r="R59" s="171">
        <f t="shared" si="76"/>
        <v>37452</v>
      </c>
      <c r="S59" s="182"/>
      <c r="T59" s="182"/>
      <c r="U59" s="183"/>
    </row>
    <row r="60" spans="1:21" x14ac:dyDescent="0.35">
      <c r="A60" s="955"/>
      <c r="B60" s="874" t="s">
        <v>635</v>
      </c>
      <c r="C60" s="875" t="s">
        <v>3</v>
      </c>
      <c r="D60" s="171"/>
      <c r="E60" s="171">
        <f>3430*0.5*12</f>
        <v>20580</v>
      </c>
      <c r="F60" s="171">
        <f>3430*0.5*12</f>
        <v>20580</v>
      </c>
      <c r="G60" s="171">
        <f>3606*0.5*12</f>
        <v>21636</v>
      </c>
      <c r="H60" s="171">
        <f>3790*0.5*12</f>
        <v>22740</v>
      </c>
      <c r="I60" s="171">
        <f>3790*0.5*12</f>
        <v>22740</v>
      </c>
      <c r="J60" s="171">
        <f>3790*0.5*12</f>
        <v>22740</v>
      </c>
      <c r="K60" s="171">
        <f>J60</f>
        <v>22740</v>
      </c>
      <c r="L60" s="171">
        <f t="shared" si="76"/>
        <v>22740</v>
      </c>
      <c r="M60" s="171">
        <f t="shared" si="76"/>
        <v>22740</v>
      </c>
      <c r="N60" s="171">
        <f t="shared" si="76"/>
        <v>22740</v>
      </c>
      <c r="O60" s="171">
        <f t="shared" si="76"/>
        <v>22740</v>
      </c>
      <c r="P60" s="171">
        <f t="shared" si="76"/>
        <v>22740</v>
      </c>
      <c r="Q60" s="171">
        <f t="shared" si="76"/>
        <v>22740</v>
      </c>
      <c r="R60" s="171">
        <f t="shared" si="76"/>
        <v>22740</v>
      </c>
      <c r="S60" s="182"/>
      <c r="T60" s="182"/>
      <c r="U60" s="183"/>
    </row>
    <row r="61" spans="1:21" hidden="1" x14ac:dyDescent="0.35">
      <c r="A61" s="955"/>
      <c r="B61" s="874" t="s">
        <v>19</v>
      </c>
      <c r="C61" s="875" t="s">
        <v>3</v>
      </c>
      <c r="D61" s="171"/>
      <c r="E61" s="171"/>
      <c r="F61" s="171"/>
      <c r="G61" s="171"/>
      <c r="H61" s="171"/>
      <c r="I61" s="171"/>
      <c r="J61" s="171"/>
      <c r="K61" s="171"/>
      <c r="L61" s="171"/>
      <c r="M61" s="171"/>
      <c r="N61" s="171"/>
      <c r="O61" s="171"/>
      <c r="P61" s="171"/>
      <c r="Q61" s="171"/>
      <c r="R61" s="171"/>
      <c r="S61" s="182"/>
      <c r="T61" s="182"/>
      <c r="U61" s="183"/>
    </row>
    <row r="62" spans="1:21" hidden="1" x14ac:dyDescent="0.35">
      <c r="A62" s="955"/>
      <c r="B62" s="874" t="s">
        <v>20</v>
      </c>
      <c r="C62" s="875" t="s">
        <v>3</v>
      </c>
      <c r="D62" s="171"/>
      <c r="E62" s="171"/>
      <c r="F62" s="171"/>
      <c r="G62" s="171"/>
      <c r="H62" s="171"/>
      <c r="I62" s="171"/>
      <c r="J62" s="171"/>
      <c r="K62" s="171"/>
      <c r="L62" s="171"/>
      <c r="M62" s="171"/>
      <c r="N62" s="171"/>
      <c r="O62" s="171"/>
      <c r="P62" s="171"/>
      <c r="Q62" s="171"/>
      <c r="R62" s="171"/>
      <c r="S62" s="182"/>
      <c r="T62" s="182"/>
      <c r="U62" s="183"/>
    </row>
    <row r="63" spans="1:21" hidden="1" x14ac:dyDescent="0.35">
      <c r="A63" s="955"/>
      <c r="B63" s="874" t="s">
        <v>21</v>
      </c>
      <c r="C63" s="875" t="s">
        <v>3</v>
      </c>
      <c r="D63" s="171"/>
      <c r="E63" s="171"/>
      <c r="F63" s="171"/>
      <c r="G63" s="171"/>
      <c r="H63" s="171"/>
      <c r="I63" s="171"/>
      <c r="J63" s="171"/>
      <c r="K63" s="171"/>
      <c r="L63" s="171"/>
      <c r="M63" s="171"/>
      <c r="N63" s="171"/>
      <c r="O63" s="171"/>
      <c r="P63" s="171"/>
      <c r="Q63" s="171"/>
      <c r="R63" s="171"/>
      <c r="S63" s="182"/>
      <c r="T63" s="182"/>
      <c r="U63" s="183"/>
    </row>
    <row r="64" spans="1:21" hidden="1" x14ac:dyDescent="0.35">
      <c r="A64" s="955"/>
      <c r="B64" s="874" t="s">
        <v>22</v>
      </c>
      <c r="C64" s="875" t="s">
        <v>3</v>
      </c>
      <c r="D64" s="171"/>
      <c r="E64" s="171"/>
      <c r="F64" s="171"/>
      <c r="G64" s="171"/>
      <c r="H64" s="171"/>
      <c r="I64" s="171"/>
      <c r="J64" s="171"/>
      <c r="K64" s="171"/>
      <c r="L64" s="171"/>
      <c r="M64" s="171"/>
      <c r="N64" s="171"/>
      <c r="O64" s="171"/>
      <c r="P64" s="171"/>
      <c r="Q64" s="171"/>
      <c r="R64" s="171"/>
      <c r="S64" s="182"/>
      <c r="T64" s="182"/>
      <c r="U64" s="183"/>
    </row>
    <row r="65" spans="1:21" hidden="1" x14ac:dyDescent="0.35">
      <c r="A65" s="955"/>
      <c r="B65" s="874" t="s">
        <v>23</v>
      </c>
      <c r="C65" s="875" t="s">
        <v>3</v>
      </c>
      <c r="D65" s="171"/>
      <c r="E65" s="171"/>
      <c r="F65" s="171"/>
      <c r="G65" s="171"/>
      <c r="H65" s="171"/>
      <c r="I65" s="171"/>
      <c r="J65" s="171"/>
      <c r="K65" s="171"/>
      <c r="L65" s="171"/>
      <c r="M65" s="171"/>
      <c r="N65" s="171"/>
      <c r="O65" s="171"/>
      <c r="P65" s="171"/>
      <c r="Q65" s="171"/>
      <c r="R65" s="171"/>
      <c r="S65" s="182"/>
      <c r="T65" s="182"/>
      <c r="U65" s="183"/>
    </row>
    <row r="66" spans="1:21" hidden="1" x14ac:dyDescent="0.35">
      <c r="A66" s="955"/>
      <c r="B66" s="874" t="s">
        <v>24</v>
      </c>
      <c r="C66" s="875" t="s">
        <v>3</v>
      </c>
      <c r="D66" s="171"/>
      <c r="E66" s="171"/>
      <c r="F66" s="171"/>
      <c r="G66" s="171"/>
      <c r="H66" s="171"/>
      <c r="I66" s="171"/>
      <c r="J66" s="171"/>
      <c r="K66" s="171"/>
      <c r="L66" s="171"/>
      <c r="M66" s="171"/>
      <c r="N66" s="171"/>
      <c r="O66" s="171"/>
      <c r="P66" s="171"/>
      <c r="Q66" s="171"/>
      <c r="R66" s="171"/>
      <c r="S66" s="182"/>
      <c r="T66" s="182"/>
      <c r="U66" s="183"/>
    </row>
    <row r="67" spans="1:21" hidden="1" x14ac:dyDescent="0.35">
      <c r="A67" s="955"/>
      <c r="B67" s="874" t="s">
        <v>25</v>
      </c>
      <c r="C67" s="875" t="s">
        <v>3</v>
      </c>
      <c r="D67" s="171"/>
      <c r="E67" s="171"/>
      <c r="F67" s="171"/>
      <c r="G67" s="171"/>
      <c r="H67" s="171"/>
      <c r="I67" s="171"/>
      <c r="J67" s="171"/>
      <c r="K67" s="171"/>
      <c r="L67" s="171"/>
      <c r="M67" s="171"/>
      <c r="N67" s="171"/>
      <c r="O67" s="171"/>
      <c r="P67" s="171"/>
      <c r="Q67" s="171"/>
      <c r="R67" s="171"/>
      <c r="S67" s="182"/>
      <c r="T67" s="182"/>
      <c r="U67" s="183"/>
    </row>
    <row r="68" spans="1:21" hidden="1" x14ac:dyDescent="0.35">
      <c r="A68" s="955"/>
      <c r="B68" s="874"/>
      <c r="C68" s="875" t="s">
        <v>3</v>
      </c>
      <c r="D68" s="171"/>
      <c r="E68" s="171"/>
      <c r="F68" s="171"/>
      <c r="G68" s="171"/>
      <c r="H68" s="171"/>
      <c r="I68" s="171"/>
      <c r="J68" s="171"/>
      <c r="K68" s="171"/>
      <c r="L68" s="171"/>
      <c r="M68" s="171"/>
      <c r="N68" s="171"/>
      <c r="O68" s="171"/>
      <c r="P68" s="171"/>
      <c r="Q68" s="171"/>
      <c r="R68" s="171"/>
      <c r="S68" s="182"/>
      <c r="T68" s="182"/>
      <c r="U68" s="183"/>
    </row>
    <row r="69" spans="1:21" hidden="1" x14ac:dyDescent="0.35">
      <c r="A69" s="955"/>
      <c r="B69" s="874" t="s">
        <v>53</v>
      </c>
      <c r="C69" s="875" t="s">
        <v>3</v>
      </c>
      <c r="D69" s="171"/>
      <c r="E69" s="171"/>
      <c r="F69" s="171"/>
      <c r="G69" s="171"/>
      <c r="H69" s="171"/>
      <c r="I69" s="171"/>
      <c r="J69" s="171"/>
      <c r="K69" s="171"/>
      <c r="L69" s="171"/>
      <c r="M69" s="171"/>
      <c r="N69" s="171"/>
      <c r="O69" s="171"/>
      <c r="P69" s="171"/>
      <c r="Q69" s="171"/>
      <c r="R69" s="171"/>
      <c r="S69" s="182"/>
      <c r="T69" s="182"/>
      <c r="U69" s="183"/>
    </row>
    <row r="70" spans="1:21" hidden="1" x14ac:dyDescent="0.35">
      <c r="A70" s="955"/>
      <c r="B70" s="874" t="s">
        <v>54</v>
      </c>
      <c r="C70" s="875" t="s">
        <v>3</v>
      </c>
      <c r="D70" s="171"/>
      <c r="E70" s="171"/>
      <c r="F70" s="171"/>
      <c r="G70" s="171"/>
      <c r="H70" s="171"/>
      <c r="I70" s="171"/>
      <c r="J70" s="171"/>
      <c r="K70" s="171"/>
      <c r="L70" s="171"/>
      <c r="M70" s="171"/>
      <c r="N70" s="171"/>
      <c r="O70" s="171"/>
      <c r="P70" s="171"/>
      <c r="Q70" s="171"/>
      <c r="R70" s="171"/>
      <c r="S70" s="182"/>
      <c r="T70" s="182"/>
      <c r="U70" s="183"/>
    </row>
    <row r="71" spans="1:21" hidden="1" x14ac:dyDescent="0.35">
      <c r="A71" s="955"/>
      <c r="B71" s="874" t="s">
        <v>55</v>
      </c>
      <c r="C71" s="875" t="s">
        <v>3</v>
      </c>
      <c r="D71" s="171"/>
      <c r="E71" s="171"/>
      <c r="F71" s="171"/>
      <c r="G71" s="171"/>
      <c r="H71" s="171"/>
      <c r="I71" s="171"/>
      <c r="J71" s="171"/>
      <c r="K71" s="171"/>
      <c r="L71" s="171"/>
      <c r="M71" s="171"/>
      <c r="N71" s="171"/>
      <c r="O71" s="171"/>
      <c r="P71" s="171"/>
      <c r="Q71" s="171"/>
      <c r="R71" s="171"/>
      <c r="S71" s="182"/>
      <c r="T71" s="182"/>
      <c r="U71" s="183"/>
    </row>
    <row r="72" spans="1:21" hidden="1" x14ac:dyDescent="0.35">
      <c r="A72" s="955"/>
      <c r="B72" s="874" t="s">
        <v>56</v>
      </c>
      <c r="C72" s="875" t="s">
        <v>3</v>
      </c>
      <c r="D72" s="171"/>
      <c r="E72" s="171"/>
      <c r="F72" s="171"/>
      <c r="G72" s="171"/>
      <c r="H72" s="171"/>
      <c r="I72" s="171"/>
      <c r="J72" s="171"/>
      <c r="K72" s="171"/>
      <c r="L72" s="171"/>
      <c r="M72" s="171"/>
      <c r="N72" s="171"/>
      <c r="O72" s="171"/>
      <c r="P72" s="171"/>
      <c r="Q72" s="171"/>
      <c r="R72" s="171"/>
      <c r="S72" s="182"/>
      <c r="T72" s="182"/>
      <c r="U72" s="183"/>
    </row>
    <row r="73" spans="1:21" hidden="1" x14ac:dyDescent="0.35">
      <c r="A73" s="955"/>
      <c r="B73" s="874" t="s">
        <v>57</v>
      </c>
      <c r="C73" s="875" t="s">
        <v>3</v>
      </c>
      <c r="D73" s="171"/>
      <c r="E73" s="171"/>
      <c r="F73" s="171"/>
      <c r="G73" s="171"/>
      <c r="H73" s="171"/>
      <c r="I73" s="171"/>
      <c r="J73" s="171"/>
      <c r="K73" s="171"/>
      <c r="L73" s="171"/>
      <c r="M73" s="171"/>
      <c r="N73" s="171"/>
      <c r="O73" s="171"/>
      <c r="P73" s="171"/>
      <c r="Q73" s="171"/>
      <c r="R73" s="171"/>
      <c r="S73" s="182"/>
      <c r="T73" s="182"/>
      <c r="U73" s="183"/>
    </row>
    <row r="74" spans="1:21" hidden="1" x14ac:dyDescent="0.35">
      <c r="A74" s="955"/>
      <c r="B74" s="874" t="s">
        <v>58</v>
      </c>
      <c r="C74" s="875" t="s">
        <v>3</v>
      </c>
      <c r="D74" s="171"/>
      <c r="E74" s="171"/>
      <c r="F74" s="171"/>
      <c r="G74" s="171"/>
      <c r="H74" s="171"/>
      <c r="I74" s="171"/>
      <c r="J74" s="171"/>
      <c r="K74" s="171"/>
      <c r="L74" s="171"/>
      <c r="M74" s="171"/>
      <c r="N74" s="171"/>
      <c r="O74" s="171"/>
      <c r="P74" s="171"/>
      <c r="Q74" s="171"/>
      <c r="R74" s="171"/>
      <c r="S74" s="182"/>
      <c r="T74" s="182"/>
      <c r="U74" s="183"/>
    </row>
    <row r="75" spans="1:21" hidden="1" x14ac:dyDescent="0.35">
      <c r="A75" s="955"/>
      <c r="B75" s="874" t="s">
        <v>59</v>
      </c>
      <c r="C75" s="875" t="s">
        <v>3</v>
      </c>
      <c r="D75" s="171"/>
      <c r="E75" s="171"/>
      <c r="F75" s="171"/>
      <c r="G75" s="171"/>
      <c r="H75" s="171"/>
      <c r="I75" s="171"/>
      <c r="J75" s="171"/>
      <c r="K75" s="171"/>
      <c r="L75" s="171"/>
      <c r="M75" s="171"/>
      <c r="N75" s="171"/>
      <c r="O75" s="171"/>
      <c r="P75" s="171"/>
      <c r="Q75" s="171"/>
      <c r="R75" s="171"/>
      <c r="S75" s="182"/>
      <c r="T75" s="182"/>
      <c r="U75" s="183"/>
    </row>
    <row r="76" spans="1:21" hidden="1" x14ac:dyDescent="0.35">
      <c r="A76" s="955"/>
      <c r="B76" s="874" t="s">
        <v>60</v>
      </c>
      <c r="C76" s="875" t="s">
        <v>3</v>
      </c>
      <c r="D76" s="171"/>
      <c r="E76" s="171"/>
      <c r="F76" s="171"/>
      <c r="G76" s="171"/>
      <c r="H76" s="171"/>
      <c r="I76" s="171"/>
      <c r="J76" s="171"/>
      <c r="K76" s="171"/>
      <c r="L76" s="171"/>
      <c r="M76" s="171"/>
      <c r="N76" s="171"/>
      <c r="O76" s="171"/>
      <c r="P76" s="171"/>
      <c r="Q76" s="171"/>
      <c r="R76" s="171"/>
      <c r="S76" s="182"/>
      <c r="T76" s="182"/>
      <c r="U76" s="183"/>
    </row>
    <row r="77" spans="1:21" hidden="1" x14ac:dyDescent="0.35">
      <c r="A77" s="955"/>
      <c r="B77" s="874" t="s">
        <v>61</v>
      </c>
      <c r="C77" s="875" t="s">
        <v>3</v>
      </c>
      <c r="D77" s="171"/>
      <c r="E77" s="171"/>
      <c r="F77" s="171"/>
      <c r="G77" s="171"/>
      <c r="H77" s="171"/>
      <c r="I77" s="171"/>
      <c r="J77" s="171"/>
      <c r="K77" s="171"/>
      <c r="L77" s="171"/>
      <c r="M77" s="171"/>
      <c r="N77" s="171"/>
      <c r="O77" s="171"/>
      <c r="P77" s="171"/>
      <c r="Q77" s="171"/>
      <c r="R77" s="171"/>
      <c r="S77" s="182"/>
      <c r="T77" s="182"/>
      <c r="U77" s="183"/>
    </row>
    <row r="78" spans="1:21" x14ac:dyDescent="0.35">
      <c r="A78" s="955"/>
      <c r="B78" s="874" t="s">
        <v>27</v>
      </c>
      <c r="C78" s="875" t="s">
        <v>3</v>
      </c>
      <c r="D78" s="184">
        <f t="shared" ref="D78:M78" si="77">SUM(D58:D77)</f>
        <v>0</v>
      </c>
      <c r="E78" s="184">
        <f t="shared" si="77"/>
        <v>44175</v>
      </c>
      <c r="F78" s="184">
        <f t="shared" si="77"/>
        <v>67770</v>
      </c>
      <c r="G78" s="184">
        <f t="shared" si="77"/>
        <v>71230.5</v>
      </c>
      <c r="H78" s="184">
        <f t="shared" si="77"/>
        <v>74146.5</v>
      </c>
      <c r="I78" s="184">
        <f t="shared" si="77"/>
        <v>74844.225000000006</v>
      </c>
      <c r="J78" s="184">
        <f t="shared" si="77"/>
        <v>74844.225000000006</v>
      </c>
      <c r="K78" s="184">
        <f t="shared" si="77"/>
        <v>74844.225000000006</v>
      </c>
      <c r="L78" s="184">
        <f t="shared" si="77"/>
        <v>74844.225000000006</v>
      </c>
      <c r="M78" s="184">
        <f t="shared" si="77"/>
        <v>74844.225000000006</v>
      </c>
      <c r="N78" s="184">
        <f t="shared" ref="N78:R78" si="78">SUM(N58:N77)</f>
        <v>74844.225000000006</v>
      </c>
      <c r="O78" s="184">
        <f t="shared" si="78"/>
        <v>74844.225000000006</v>
      </c>
      <c r="P78" s="184">
        <f t="shared" si="78"/>
        <v>74844.225000000006</v>
      </c>
      <c r="Q78" s="184">
        <f t="shared" si="78"/>
        <v>74844.225000000006</v>
      </c>
      <c r="R78" s="184">
        <f t="shared" si="78"/>
        <v>74844.225000000006</v>
      </c>
      <c r="S78" s="182"/>
      <c r="T78" s="182"/>
      <c r="U78" s="183"/>
    </row>
    <row r="79" spans="1:21" x14ac:dyDescent="0.35">
      <c r="A79" s="955"/>
      <c r="B79" s="874" t="s">
        <v>26</v>
      </c>
      <c r="C79" s="889"/>
      <c r="D79" s="184">
        <f>D78*Maksumäärad!B5</f>
        <v>0</v>
      </c>
      <c r="E79" s="184">
        <f>E78*Maksumäärad!C5</f>
        <v>14931.150000000001</v>
      </c>
      <c r="F79" s="184">
        <f>F78*Maksumäärad!D5</f>
        <v>22906.260000000002</v>
      </c>
      <c r="G79" s="184">
        <f>G78*Maksumäärad!E5</f>
        <v>24075.909000000003</v>
      </c>
      <c r="H79" s="184">
        <f>H78*Maksumäärad!F5</f>
        <v>25061.517000000003</v>
      </c>
      <c r="I79" s="184">
        <f>I78*Maksumäärad!G5</f>
        <v>25297.348050000004</v>
      </c>
      <c r="J79" s="184">
        <f>J78*Maksumäärad!H5</f>
        <v>25297.348050000004</v>
      </c>
      <c r="K79" s="184">
        <f>K78*Maksumäärad!I5</f>
        <v>25297.348050000004</v>
      </c>
      <c r="L79" s="184">
        <f>L78*Maksumäärad!J5</f>
        <v>25297.348050000004</v>
      </c>
      <c r="M79" s="184">
        <f>M78*Maksumäärad!K5</f>
        <v>25297.348050000004</v>
      </c>
      <c r="N79" s="184">
        <f>N78*Maksumäärad!L5</f>
        <v>25297.348050000004</v>
      </c>
      <c r="O79" s="184">
        <f>O78*Maksumäärad!M5</f>
        <v>25297.348050000004</v>
      </c>
      <c r="P79" s="184">
        <f>P78*Maksumäärad!N5</f>
        <v>25297.348050000004</v>
      </c>
      <c r="Q79" s="184">
        <f>Q78*Maksumäärad!O5</f>
        <v>25297.348050000004</v>
      </c>
      <c r="R79" s="184">
        <f>R78*Maksumäärad!P5</f>
        <v>25297.348050000004</v>
      </c>
      <c r="S79" s="182"/>
      <c r="T79" s="182"/>
      <c r="U79" s="183"/>
    </row>
    <row r="80" spans="1:21" x14ac:dyDescent="0.35">
      <c r="A80" s="951" t="s">
        <v>28</v>
      </c>
      <c r="B80" s="952"/>
      <c r="C80" s="890"/>
      <c r="D80" s="185">
        <f t="shared" ref="D80:M80" si="79">SUM(D78:D79)</f>
        <v>0</v>
      </c>
      <c r="E80" s="185">
        <f t="shared" si="79"/>
        <v>59106.15</v>
      </c>
      <c r="F80" s="185">
        <f t="shared" si="79"/>
        <v>90676.260000000009</v>
      </c>
      <c r="G80" s="185">
        <f t="shared" si="79"/>
        <v>95306.409</v>
      </c>
      <c r="H80" s="185">
        <f t="shared" si="79"/>
        <v>99208.017000000007</v>
      </c>
      <c r="I80" s="185">
        <f t="shared" si="79"/>
        <v>100141.57305000001</v>
      </c>
      <c r="J80" s="185">
        <f t="shared" si="79"/>
        <v>100141.57305000001</v>
      </c>
      <c r="K80" s="185">
        <f t="shared" si="79"/>
        <v>100141.57305000001</v>
      </c>
      <c r="L80" s="185">
        <f t="shared" si="79"/>
        <v>100141.57305000001</v>
      </c>
      <c r="M80" s="185">
        <f t="shared" si="79"/>
        <v>100141.57305000001</v>
      </c>
      <c r="N80" s="185">
        <f t="shared" ref="N80:R80" si="80">SUM(N78:N79)</f>
        <v>100141.57305000001</v>
      </c>
      <c r="O80" s="185">
        <f t="shared" si="80"/>
        <v>100141.57305000001</v>
      </c>
      <c r="P80" s="185">
        <f t="shared" si="80"/>
        <v>100141.57305000001</v>
      </c>
      <c r="Q80" s="185">
        <f t="shared" si="80"/>
        <v>100141.57305000001</v>
      </c>
      <c r="R80" s="185">
        <f t="shared" si="80"/>
        <v>100141.57305000001</v>
      </c>
      <c r="S80" s="182"/>
      <c r="T80" s="182"/>
      <c r="U80" s="183"/>
    </row>
    <row r="81" spans="1:21" ht="4.5" customHeight="1" x14ac:dyDescent="0.35">
      <c r="A81" s="881"/>
      <c r="B81" s="882"/>
      <c r="C81" s="883"/>
      <c r="D81" s="186"/>
      <c r="E81" s="186"/>
      <c r="F81" s="186"/>
      <c r="G81" s="186"/>
      <c r="H81" s="186"/>
      <c r="I81" s="186"/>
      <c r="J81" s="186"/>
      <c r="K81" s="186"/>
      <c r="L81" s="186"/>
      <c r="M81" s="186"/>
      <c r="N81" s="186"/>
      <c r="O81" s="186"/>
      <c r="P81" s="186"/>
      <c r="Q81" s="186"/>
      <c r="R81" s="187"/>
      <c r="S81" s="182"/>
      <c r="T81" s="182"/>
      <c r="U81" s="183"/>
    </row>
    <row r="82" spans="1:21" x14ac:dyDescent="0.35">
      <c r="A82" s="955" t="s">
        <v>29</v>
      </c>
      <c r="B82" s="874" t="str">
        <f>Eeldused_muugi!A25</f>
        <v>Küte</v>
      </c>
      <c r="C82" s="875" t="s">
        <v>3</v>
      </c>
      <c r="D82" s="171"/>
      <c r="E82" s="171"/>
      <c r="F82" s="171">
        <f>Eeldused_muugi!F25*Sisendandmed!$C$7</f>
        <v>35092.073616000023</v>
      </c>
      <c r="G82" s="171">
        <f>Eeldused_muugi!G25*Sisendandmed!$C$7</f>
        <v>35092.073616000023</v>
      </c>
      <c r="H82" s="171">
        <f>Eeldused_muugi!H25*Sisendandmed!$C$7</f>
        <v>35092.073616000023</v>
      </c>
      <c r="I82" s="171">
        <f>Eeldused_muugi!I25*Sisendandmed!$C$7</f>
        <v>35092.073616000023</v>
      </c>
      <c r="J82" s="171">
        <f>Eeldused_muugi!J25*Sisendandmed!$C$7</f>
        <v>35092.073616000023</v>
      </c>
      <c r="K82" s="171">
        <f>Eeldused_muugi!K25*Sisendandmed!$C$7</f>
        <v>35092.073616000023</v>
      </c>
      <c r="L82" s="171">
        <f>Eeldused_muugi!L25*Sisendandmed!$C$7</f>
        <v>35092.073616000023</v>
      </c>
      <c r="M82" s="171">
        <f>Eeldused_muugi!M25*Sisendandmed!$C$7</f>
        <v>35092.073616000023</v>
      </c>
      <c r="N82" s="171">
        <f>Eeldused_muugi!N25*Sisendandmed!$C$7</f>
        <v>35092.073616000023</v>
      </c>
      <c r="O82" s="171">
        <f>Eeldused_muugi!O25*Sisendandmed!$C$7</f>
        <v>35092.073616000023</v>
      </c>
      <c r="P82" s="171">
        <f>Eeldused_muugi!P25*Sisendandmed!$C$7</f>
        <v>35092.073616000023</v>
      </c>
      <c r="Q82" s="171">
        <f>Eeldused_muugi!Q25*Sisendandmed!$C$7</f>
        <v>35092.073616000023</v>
      </c>
      <c r="R82" s="171">
        <f>Eeldused_muugi!R25*Sisendandmed!$C$7</f>
        <v>35092.073616000023</v>
      </c>
      <c r="S82" s="182"/>
      <c r="T82" s="182"/>
      <c r="U82" s="183"/>
    </row>
    <row r="83" spans="1:21" x14ac:dyDescent="0.35">
      <c r="A83" s="955"/>
      <c r="B83" s="874" t="str">
        <f>Eeldused_muugi!A33</f>
        <v>Valgustus</v>
      </c>
      <c r="C83" s="875" t="s">
        <v>3</v>
      </c>
      <c r="D83" s="171"/>
      <c r="E83" s="171"/>
      <c r="F83" s="171">
        <f>Eeldused_muugi!F33*Sisendandmed!$C$8</f>
        <v>28596.67902000001</v>
      </c>
      <c r="G83" s="171">
        <f>Eeldused_muugi!G33*Sisendandmed!$C$8</f>
        <v>28596.67902000001</v>
      </c>
      <c r="H83" s="171">
        <f>Eeldused_muugi!H33*Sisendandmed!$C$8</f>
        <v>28596.67902000001</v>
      </c>
      <c r="I83" s="171">
        <f>Eeldused_muugi!I33*Sisendandmed!$C$8</f>
        <v>28596.67902000001</v>
      </c>
      <c r="J83" s="171">
        <f>Eeldused_muugi!J33*Sisendandmed!$C$8</f>
        <v>28596.67902000001</v>
      </c>
      <c r="K83" s="171">
        <f>Eeldused_muugi!K33*Sisendandmed!$C$8</f>
        <v>28596.67902000001</v>
      </c>
      <c r="L83" s="171">
        <f>Eeldused_muugi!L33*Sisendandmed!$C$8</f>
        <v>28596.67902000001</v>
      </c>
      <c r="M83" s="171">
        <f>Eeldused_muugi!M33*Sisendandmed!$C$8</f>
        <v>28596.67902000001</v>
      </c>
      <c r="N83" s="171">
        <f>Eeldused_muugi!N33*Sisendandmed!$C$8</f>
        <v>28596.67902000001</v>
      </c>
      <c r="O83" s="171">
        <f>Eeldused_muugi!O33*Sisendandmed!$C$8</f>
        <v>28596.67902000001</v>
      </c>
      <c r="P83" s="171">
        <f>Eeldused_muugi!P33*Sisendandmed!$C$8</f>
        <v>28596.67902000001</v>
      </c>
      <c r="Q83" s="171">
        <f>Eeldused_muugi!Q33*Sisendandmed!$C$8</f>
        <v>28596.67902000001</v>
      </c>
      <c r="R83" s="171">
        <f>Eeldused_muugi!R33*Sisendandmed!$C$8</f>
        <v>28596.67902000001</v>
      </c>
      <c r="S83" s="182"/>
      <c r="T83" s="182"/>
      <c r="U83" s="183"/>
    </row>
    <row r="84" spans="1:21" x14ac:dyDescent="0.35">
      <c r="A84" s="955"/>
      <c r="B84" s="874" t="str">
        <f>Eeldused_muugi!A39</f>
        <v>Vesi ja kanalisatsioon</v>
      </c>
      <c r="C84" s="875" t="s">
        <v>3</v>
      </c>
      <c r="D84" s="171"/>
      <c r="E84" s="171"/>
      <c r="F84" s="171">
        <f>Eeldused_muugi!F39*Sisendandmed!$C$9</f>
        <v>4175.1359999999995</v>
      </c>
      <c r="G84" s="171">
        <f>Eeldused_muugi!G39*Sisendandmed!$C$9</f>
        <v>4175.1359999999995</v>
      </c>
      <c r="H84" s="171">
        <f>Eeldused_muugi!H39*Sisendandmed!$C$9</f>
        <v>4175.1359999999995</v>
      </c>
      <c r="I84" s="171">
        <f>Eeldused_muugi!I39*Sisendandmed!$C$9</f>
        <v>4175.1359999999995</v>
      </c>
      <c r="J84" s="171">
        <f>Eeldused_muugi!J39*Sisendandmed!$C$9</f>
        <v>4175.1359999999995</v>
      </c>
      <c r="K84" s="171">
        <f>Eeldused_muugi!K39*Sisendandmed!$C$9</f>
        <v>4175.1359999999995</v>
      </c>
      <c r="L84" s="171">
        <f>Eeldused_muugi!L39*Sisendandmed!$C$9</f>
        <v>4175.1359999999995</v>
      </c>
      <c r="M84" s="171">
        <f>Eeldused_muugi!M39*Sisendandmed!$C$9</f>
        <v>4175.1359999999995</v>
      </c>
      <c r="N84" s="171">
        <f>Eeldused_muugi!N39*Sisendandmed!$C$9</f>
        <v>4175.1359999999995</v>
      </c>
      <c r="O84" s="171">
        <f>Eeldused_muugi!O39*Sisendandmed!$C$9</f>
        <v>4175.1359999999995</v>
      </c>
      <c r="P84" s="171">
        <f>Eeldused_muugi!P39*Sisendandmed!$C$9</f>
        <v>4175.1359999999995</v>
      </c>
      <c r="Q84" s="171">
        <f>Eeldused_muugi!Q39*Sisendandmed!$C$9</f>
        <v>4175.1359999999995</v>
      </c>
      <c r="R84" s="171">
        <f>Eeldused_muugi!R39*Sisendandmed!$C$9</f>
        <v>4175.1359999999995</v>
      </c>
      <c r="S84" s="182"/>
      <c r="T84" s="182"/>
      <c r="U84" s="183"/>
    </row>
    <row r="85" spans="1:21" x14ac:dyDescent="0.35">
      <c r="A85" s="955"/>
      <c r="B85" s="874" t="str">
        <f>Eeldused_muugi!A42</f>
        <v>Vee soojendamine</v>
      </c>
      <c r="C85" s="875" t="s">
        <v>3</v>
      </c>
      <c r="D85" s="171"/>
      <c r="E85" s="171"/>
      <c r="F85" s="171">
        <f>Eeldused_muugi!F42*Sisendandmed!$C$7</f>
        <v>3217.68</v>
      </c>
      <c r="G85" s="171">
        <f>Eeldused_muugi!G42*Sisendandmed!$C$7</f>
        <v>3217.68</v>
      </c>
      <c r="H85" s="171">
        <f>Eeldused_muugi!H42*Sisendandmed!$C$7</f>
        <v>3217.68</v>
      </c>
      <c r="I85" s="171">
        <f>Eeldused_muugi!I42*Sisendandmed!$C$7</f>
        <v>3217.68</v>
      </c>
      <c r="J85" s="171">
        <f>Eeldused_muugi!J42*Sisendandmed!$C$7</f>
        <v>3217.68</v>
      </c>
      <c r="K85" s="171">
        <f>Eeldused_muugi!K42*Sisendandmed!$C$7</f>
        <v>3217.68</v>
      </c>
      <c r="L85" s="171">
        <f>Eeldused_muugi!L42*Sisendandmed!$C$7</f>
        <v>3217.68</v>
      </c>
      <c r="M85" s="171">
        <f>Eeldused_muugi!M42*Sisendandmed!$C$7</f>
        <v>3217.68</v>
      </c>
      <c r="N85" s="171">
        <f>Eeldused_muugi!N42*Sisendandmed!$C$7</f>
        <v>3217.68</v>
      </c>
      <c r="O85" s="171">
        <f>Eeldused_muugi!O42*Sisendandmed!$C$7</f>
        <v>3217.68</v>
      </c>
      <c r="P85" s="171">
        <f>Eeldused_muugi!P42*Sisendandmed!$C$7</f>
        <v>3217.68</v>
      </c>
      <c r="Q85" s="171">
        <f>Eeldused_muugi!Q42*Sisendandmed!$C$7</f>
        <v>3217.68</v>
      </c>
      <c r="R85" s="171">
        <f>Eeldused_muugi!R42*Sisendandmed!$C$7</f>
        <v>3217.68</v>
      </c>
      <c r="S85" s="182"/>
      <c r="T85" s="182"/>
      <c r="U85" s="183"/>
    </row>
    <row r="86" spans="1:21" x14ac:dyDescent="0.35">
      <c r="A86" s="955"/>
      <c r="B86" s="874" t="str">
        <f>Eeldused_muugi!A44</f>
        <v>Remonditööd</v>
      </c>
      <c r="C86" s="875" t="s">
        <v>3</v>
      </c>
      <c r="D86" s="171"/>
      <c r="E86" s="171"/>
      <c r="F86" s="171">
        <f>Eeldused_muugi!F45*Eeldused_muugi!F46+Eeldused_muugi!F47*Eeldused_muugi!F48+Eeldused_muugi!F49</f>
        <v>17500</v>
      </c>
      <c r="G86" s="171">
        <f>Eeldused_muugi!G45*Eeldused_muugi!G46+Eeldused_muugi!G47*Eeldused_muugi!G48+Eeldused_muugi!G49</f>
        <v>17500</v>
      </c>
      <c r="H86" s="171">
        <f>Eeldused_muugi!H45*Eeldused_muugi!H46+Eeldused_muugi!H47*Eeldused_muugi!H48+Eeldused_muugi!H49</f>
        <v>17500</v>
      </c>
      <c r="I86" s="171">
        <f>Eeldused_muugi!I45*Eeldused_muugi!I46+Eeldused_muugi!I47*Eeldused_muugi!I48+Eeldused_muugi!I49</f>
        <v>17500</v>
      </c>
      <c r="J86" s="171">
        <f>Eeldused_muugi!J45*Eeldused_muugi!J46+Eeldused_muugi!J47*Eeldused_muugi!J48+Eeldused_muugi!J49</f>
        <v>17500</v>
      </c>
      <c r="K86" s="171">
        <f>Eeldused_muugi!K45*Eeldused_muugi!K46+Eeldused_muugi!K47*Eeldused_muugi!K48+Eeldused_muugi!K49</f>
        <v>17500</v>
      </c>
      <c r="L86" s="171">
        <f>Eeldused_muugi!L45*Eeldused_muugi!L46+Eeldused_muugi!L47*Eeldused_muugi!L48+Eeldused_muugi!L49</f>
        <v>17500</v>
      </c>
      <c r="M86" s="171">
        <f>Eeldused_muugi!M45*Eeldused_muugi!M46+Eeldused_muugi!M47*Eeldused_muugi!M48+Eeldused_muugi!M49</f>
        <v>17500</v>
      </c>
      <c r="N86" s="171">
        <f>Eeldused_muugi!N45*Eeldused_muugi!N46+Eeldused_muugi!N47*Eeldused_muugi!N48+Eeldused_muugi!N49</f>
        <v>17500</v>
      </c>
      <c r="O86" s="171">
        <f>Eeldused_muugi!O45*Eeldused_muugi!O46+Eeldused_muugi!O47*Eeldused_muugi!O48+Eeldused_muugi!O49</f>
        <v>17500</v>
      </c>
      <c r="P86" s="171">
        <f>Eeldused_muugi!P45*Eeldused_muugi!P46+Eeldused_muugi!P47*Eeldused_muugi!P48+Eeldused_muugi!P49</f>
        <v>17500</v>
      </c>
      <c r="Q86" s="171">
        <f>Eeldused_muugi!Q45*Eeldused_muugi!Q46+Eeldused_muugi!Q47*Eeldused_muugi!Q48+Eeldused_muugi!Q49</f>
        <v>17500</v>
      </c>
      <c r="R86" s="171">
        <f>Eeldused_muugi!R45*Eeldused_muugi!R46+Eeldused_muugi!R47*Eeldused_muugi!R48+Eeldused_muugi!R49</f>
        <v>17500</v>
      </c>
      <c r="S86" s="182"/>
      <c r="T86" s="182"/>
      <c r="U86" s="183"/>
    </row>
    <row r="87" spans="1:21" x14ac:dyDescent="0.35">
      <c r="A87" s="955"/>
      <c r="B87" s="874" t="str">
        <f>Eeldused_muugi!A50</f>
        <v>Tehnohooldus</v>
      </c>
      <c r="C87" s="875" t="s">
        <v>3</v>
      </c>
      <c r="D87" s="171"/>
      <c r="E87" s="171"/>
      <c r="F87" s="171">
        <f>Eeldused_muugi!F50</f>
        <v>15600</v>
      </c>
      <c r="G87" s="171">
        <f>Eeldused_muugi!G50</f>
        <v>15600</v>
      </c>
      <c r="H87" s="171">
        <f>Eeldused_muugi!H50</f>
        <v>15600</v>
      </c>
      <c r="I87" s="171">
        <f>Eeldused_muugi!I50</f>
        <v>15600</v>
      </c>
      <c r="J87" s="171">
        <f>Eeldused_muugi!J50</f>
        <v>15600</v>
      </c>
      <c r="K87" s="171">
        <f>Eeldused_muugi!K50</f>
        <v>15600</v>
      </c>
      <c r="L87" s="171">
        <f>Eeldused_muugi!L50</f>
        <v>15600</v>
      </c>
      <c r="M87" s="171">
        <f>Eeldused_muugi!M50</f>
        <v>15600</v>
      </c>
      <c r="N87" s="171">
        <f>Eeldused_muugi!N50</f>
        <v>15600</v>
      </c>
      <c r="O87" s="171">
        <f>Eeldused_muugi!O50</f>
        <v>15600</v>
      </c>
      <c r="P87" s="171">
        <f>Eeldused_muugi!P50</f>
        <v>15600</v>
      </c>
      <c r="Q87" s="171">
        <f>Eeldused_muugi!Q50</f>
        <v>15600</v>
      </c>
      <c r="R87" s="171">
        <f>Eeldused_muugi!R50</f>
        <v>15600</v>
      </c>
      <c r="S87" s="182"/>
      <c r="T87" s="182"/>
      <c r="U87" s="183"/>
    </row>
    <row r="88" spans="1:21" x14ac:dyDescent="0.35">
      <c r="A88" s="955"/>
      <c r="B88" s="874" t="str">
        <f>Eeldused_muugi!A62</f>
        <v>Hooldus (administratiivkorpus)</v>
      </c>
      <c r="C88" s="875" t="s">
        <v>3</v>
      </c>
      <c r="D88" s="171"/>
      <c r="E88" s="171"/>
      <c r="F88" s="171">
        <f>Eeldused_muugi!F62</f>
        <v>9120</v>
      </c>
      <c r="G88" s="171">
        <f>Eeldused_muugi!G62</f>
        <v>9120</v>
      </c>
      <c r="H88" s="171">
        <f>Eeldused_muugi!H62</f>
        <v>9120</v>
      </c>
      <c r="I88" s="171">
        <f>Eeldused_muugi!I62</f>
        <v>9120</v>
      </c>
      <c r="J88" s="171">
        <f>Eeldused_muugi!J62</f>
        <v>9120</v>
      </c>
      <c r="K88" s="171">
        <f>Eeldused_muugi!K62</f>
        <v>9120</v>
      </c>
      <c r="L88" s="171">
        <f>Eeldused_muugi!L62</f>
        <v>9120</v>
      </c>
      <c r="M88" s="171">
        <f>Eeldused_muugi!M62</f>
        <v>9120</v>
      </c>
      <c r="N88" s="171">
        <f>Eeldused_muugi!N62</f>
        <v>9120</v>
      </c>
      <c r="O88" s="171">
        <f>Eeldused_muugi!O62</f>
        <v>9120</v>
      </c>
      <c r="P88" s="171">
        <f>Eeldused_muugi!P62</f>
        <v>9120</v>
      </c>
      <c r="Q88" s="171">
        <f>Eeldused_muugi!Q62</f>
        <v>9120</v>
      </c>
      <c r="R88" s="171">
        <f>Eeldused_muugi!R62</f>
        <v>9120</v>
      </c>
      <c r="S88" s="182"/>
      <c r="T88" s="182"/>
      <c r="U88" s="183"/>
    </row>
    <row r="89" spans="1:21" x14ac:dyDescent="0.35">
      <c r="A89" s="955"/>
      <c r="B89" s="874" t="str">
        <f>Eeldused_muugi!A67</f>
        <v>Hooldus (territoorium)</v>
      </c>
      <c r="C89" s="875" t="s">
        <v>3</v>
      </c>
      <c r="D89" s="171"/>
      <c r="E89" s="171"/>
      <c r="F89" s="171">
        <f>Eeldused_muugi!F67</f>
        <v>19460</v>
      </c>
      <c r="G89" s="171">
        <f>Eeldused_muugi!G67</f>
        <v>19460</v>
      </c>
      <c r="H89" s="171">
        <f>Eeldused_muugi!H67</f>
        <v>19460</v>
      </c>
      <c r="I89" s="171">
        <f>Eeldused_muugi!I67</f>
        <v>19460</v>
      </c>
      <c r="J89" s="171">
        <f>Eeldused_muugi!J67</f>
        <v>19460</v>
      </c>
      <c r="K89" s="171">
        <f>Eeldused_muugi!K67</f>
        <v>19460</v>
      </c>
      <c r="L89" s="171">
        <f>Eeldused_muugi!L67</f>
        <v>19460</v>
      </c>
      <c r="M89" s="171">
        <f>Eeldused_muugi!M67</f>
        <v>19460</v>
      </c>
      <c r="N89" s="171">
        <f>Eeldused_muugi!N67</f>
        <v>19460</v>
      </c>
      <c r="O89" s="171">
        <f>Eeldused_muugi!O67</f>
        <v>19460</v>
      </c>
      <c r="P89" s="171">
        <f>Eeldused_muugi!P67</f>
        <v>19460</v>
      </c>
      <c r="Q89" s="171">
        <f>Eeldused_muugi!Q67</f>
        <v>19460</v>
      </c>
      <c r="R89" s="171">
        <f>Eeldused_muugi!R67</f>
        <v>19460</v>
      </c>
      <c r="S89" s="182"/>
      <c r="T89" s="182"/>
      <c r="U89" s="183"/>
    </row>
    <row r="90" spans="1:21" hidden="1" x14ac:dyDescent="0.35">
      <c r="A90" s="955"/>
      <c r="B90" s="874" t="s">
        <v>62</v>
      </c>
      <c r="C90" s="875" t="s">
        <v>3</v>
      </c>
      <c r="D90" s="171"/>
      <c r="E90" s="171"/>
      <c r="F90" s="171"/>
      <c r="G90" s="171"/>
      <c r="H90" s="171"/>
      <c r="I90" s="171"/>
      <c r="J90" s="171"/>
      <c r="K90" s="171"/>
      <c r="L90" s="171"/>
      <c r="M90" s="171"/>
      <c r="N90" s="171"/>
      <c r="O90" s="171"/>
      <c r="P90" s="171"/>
      <c r="Q90" s="171"/>
      <c r="R90" s="171"/>
      <c r="S90" s="182"/>
      <c r="T90" s="182"/>
      <c r="U90" s="183"/>
    </row>
    <row r="91" spans="1:21" hidden="1" x14ac:dyDescent="0.35">
      <c r="A91" s="955"/>
      <c r="B91" s="874" t="s">
        <v>63</v>
      </c>
      <c r="C91" s="875" t="s">
        <v>3</v>
      </c>
      <c r="D91" s="171"/>
      <c r="E91" s="171"/>
      <c r="F91" s="171"/>
      <c r="G91" s="171"/>
      <c r="H91" s="171"/>
      <c r="I91" s="171"/>
      <c r="J91" s="171"/>
      <c r="K91" s="171"/>
      <c r="L91" s="171"/>
      <c r="M91" s="171"/>
      <c r="N91" s="171"/>
      <c r="O91" s="171"/>
      <c r="P91" s="171"/>
      <c r="Q91" s="171"/>
      <c r="R91" s="171"/>
      <c r="S91" s="182"/>
      <c r="T91" s="182"/>
      <c r="U91" s="183"/>
    </row>
    <row r="92" spans="1:21" x14ac:dyDescent="0.35">
      <c r="A92" s="951" t="s">
        <v>33</v>
      </c>
      <c r="B92" s="952"/>
      <c r="C92" s="890"/>
      <c r="D92" s="185">
        <f t="shared" ref="D92:R92" si="81">SUM(D82:D91)</f>
        <v>0</v>
      </c>
      <c r="E92" s="185">
        <f t="shared" si="81"/>
        <v>0</v>
      </c>
      <c r="F92" s="185">
        <f t="shared" si="81"/>
        <v>132761.56863600004</v>
      </c>
      <c r="G92" s="185">
        <f t="shared" si="81"/>
        <v>132761.56863600004</v>
      </c>
      <c r="H92" s="185">
        <f t="shared" si="81"/>
        <v>132761.56863600004</v>
      </c>
      <c r="I92" s="185">
        <f t="shared" si="81"/>
        <v>132761.56863600004</v>
      </c>
      <c r="J92" s="185">
        <f t="shared" si="81"/>
        <v>132761.56863600004</v>
      </c>
      <c r="K92" s="185">
        <f t="shared" si="81"/>
        <v>132761.56863600004</v>
      </c>
      <c r="L92" s="185">
        <f t="shared" si="81"/>
        <v>132761.56863600004</v>
      </c>
      <c r="M92" s="185">
        <f t="shared" si="81"/>
        <v>132761.56863600004</v>
      </c>
      <c r="N92" s="185">
        <f t="shared" si="81"/>
        <v>132761.56863600004</v>
      </c>
      <c r="O92" s="185">
        <f t="shared" si="81"/>
        <v>132761.56863600004</v>
      </c>
      <c r="P92" s="185">
        <f t="shared" si="81"/>
        <v>132761.56863600004</v>
      </c>
      <c r="Q92" s="185">
        <f t="shared" si="81"/>
        <v>132761.56863600004</v>
      </c>
      <c r="R92" s="185">
        <f t="shared" si="81"/>
        <v>132761.56863600004</v>
      </c>
      <c r="S92" s="182"/>
      <c r="T92" s="182"/>
      <c r="U92" s="183"/>
    </row>
    <row r="93" spans="1:21" ht="4.5" customHeight="1" x14ac:dyDescent="0.35">
      <c r="A93" s="881"/>
      <c r="B93" s="882"/>
      <c r="C93" s="883"/>
      <c r="D93" s="186"/>
      <c r="E93" s="186"/>
      <c r="F93" s="186"/>
      <c r="G93" s="186"/>
      <c r="H93" s="186"/>
      <c r="I93" s="186"/>
      <c r="J93" s="186"/>
      <c r="K93" s="186"/>
      <c r="L93" s="186"/>
      <c r="M93" s="186"/>
      <c r="N93" s="186"/>
      <c r="O93" s="186"/>
      <c r="P93" s="186"/>
      <c r="Q93" s="186"/>
      <c r="R93" s="187"/>
      <c r="S93" s="182"/>
      <c r="T93" s="182"/>
      <c r="U93" s="183"/>
    </row>
    <row r="94" spans="1:21" x14ac:dyDescent="0.35">
      <c r="A94" s="956" t="s">
        <v>34</v>
      </c>
      <c r="B94" s="874" t="str">
        <f>Eeldused_muugi!A55</f>
        <v>Turunduskulud</v>
      </c>
      <c r="C94" s="875" t="s">
        <v>3</v>
      </c>
      <c r="D94" s="171"/>
      <c r="E94" s="171"/>
      <c r="F94" s="171">
        <f>Eeldused_muugi!F55</f>
        <v>13920</v>
      </c>
      <c r="G94" s="171">
        <f>Eeldused_muugi!G55</f>
        <v>13920</v>
      </c>
      <c r="H94" s="171">
        <f>Eeldused_muugi!H55</f>
        <v>13920</v>
      </c>
      <c r="I94" s="171">
        <f>Eeldused_muugi!I55</f>
        <v>13920</v>
      </c>
      <c r="J94" s="171">
        <f>Eeldused_muugi!J55</f>
        <v>13920</v>
      </c>
      <c r="K94" s="171">
        <f>Eeldused_muugi!K55</f>
        <v>13920</v>
      </c>
      <c r="L94" s="171">
        <f>Eeldused_muugi!L55</f>
        <v>13920</v>
      </c>
      <c r="M94" s="171">
        <f>Eeldused_muugi!M55</f>
        <v>13920</v>
      </c>
      <c r="N94" s="171">
        <f>Eeldused_muugi!N55</f>
        <v>13920</v>
      </c>
      <c r="O94" s="171">
        <f>Eeldused_muugi!O55</f>
        <v>13920</v>
      </c>
      <c r="P94" s="171">
        <f>Eeldused_muugi!P55</f>
        <v>13920</v>
      </c>
      <c r="Q94" s="171">
        <f>Eeldused_muugi!Q55</f>
        <v>13920</v>
      </c>
      <c r="R94" s="171">
        <f>Eeldused_muugi!R55</f>
        <v>13920</v>
      </c>
      <c r="S94" s="182"/>
      <c r="T94" s="182"/>
      <c r="U94" s="183"/>
    </row>
    <row r="95" spans="1:21" hidden="1" x14ac:dyDescent="0.35">
      <c r="A95" s="957"/>
      <c r="B95" s="874"/>
      <c r="C95" s="875" t="s">
        <v>3</v>
      </c>
      <c r="D95" s="171"/>
      <c r="E95" s="171"/>
      <c r="F95" s="171"/>
      <c r="G95" s="171"/>
      <c r="H95" s="171"/>
      <c r="I95" s="171"/>
      <c r="J95" s="171"/>
      <c r="K95" s="171"/>
      <c r="L95" s="171"/>
      <c r="M95" s="171"/>
      <c r="N95" s="171"/>
      <c r="O95" s="171"/>
      <c r="P95" s="171"/>
      <c r="Q95" s="171"/>
      <c r="R95" s="171"/>
      <c r="S95" s="182"/>
      <c r="T95" s="182"/>
      <c r="U95" s="183"/>
    </row>
    <row r="96" spans="1:21" hidden="1" x14ac:dyDescent="0.35">
      <c r="A96" s="957"/>
      <c r="B96" s="874"/>
      <c r="C96" s="875" t="s">
        <v>3</v>
      </c>
      <c r="D96" s="171"/>
      <c r="E96" s="171"/>
      <c r="F96" s="171"/>
      <c r="G96" s="171"/>
      <c r="H96" s="171"/>
      <c r="I96" s="171"/>
      <c r="J96" s="171"/>
      <c r="K96" s="171"/>
      <c r="L96" s="171"/>
      <c r="M96" s="171"/>
      <c r="N96" s="171"/>
      <c r="O96" s="171"/>
      <c r="P96" s="171"/>
      <c r="Q96" s="171"/>
      <c r="R96" s="171"/>
      <c r="S96" s="182"/>
      <c r="T96" s="182"/>
      <c r="U96" s="183"/>
    </row>
    <row r="97" spans="1:21" hidden="1" x14ac:dyDescent="0.35">
      <c r="A97" s="957"/>
      <c r="B97" s="874"/>
      <c r="C97" s="875" t="s">
        <v>3</v>
      </c>
      <c r="D97" s="171"/>
      <c r="E97" s="171"/>
      <c r="F97" s="171"/>
      <c r="G97" s="171"/>
      <c r="H97" s="171"/>
      <c r="I97" s="171"/>
      <c r="J97" s="171"/>
      <c r="K97" s="171"/>
      <c r="L97" s="171"/>
      <c r="M97" s="171"/>
      <c r="N97" s="171"/>
      <c r="O97" s="171"/>
      <c r="P97" s="171"/>
      <c r="Q97" s="171"/>
      <c r="R97" s="171"/>
      <c r="S97" s="182"/>
      <c r="T97" s="182"/>
      <c r="U97" s="183"/>
    </row>
    <row r="98" spans="1:21" hidden="1" x14ac:dyDescent="0.35">
      <c r="A98" s="957"/>
      <c r="B98" s="874" t="s">
        <v>35</v>
      </c>
      <c r="C98" s="875"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957"/>
      <c r="B99" s="874" t="s">
        <v>36</v>
      </c>
      <c r="C99" s="875"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957"/>
      <c r="B100" s="874" t="s">
        <v>37</v>
      </c>
      <c r="C100" s="875"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957"/>
      <c r="B101" s="874" t="s">
        <v>38</v>
      </c>
      <c r="C101" s="875"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957"/>
      <c r="B102" s="874" t="s">
        <v>39</v>
      </c>
      <c r="C102" s="875"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958"/>
      <c r="B103" s="874" t="s">
        <v>40</v>
      </c>
      <c r="C103" s="875"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collapsed="1" x14ac:dyDescent="0.35">
      <c r="A104" s="951" t="s">
        <v>41</v>
      </c>
      <c r="B104" s="952"/>
      <c r="C104" s="890"/>
      <c r="D104" s="185">
        <f t="shared" ref="D104:R104" si="82">SUM(D94:D103)</f>
        <v>0</v>
      </c>
      <c r="E104" s="185">
        <f t="shared" si="82"/>
        <v>0</v>
      </c>
      <c r="F104" s="185">
        <f t="shared" si="82"/>
        <v>13920</v>
      </c>
      <c r="G104" s="185">
        <f t="shared" si="82"/>
        <v>13920</v>
      </c>
      <c r="H104" s="185">
        <f t="shared" si="82"/>
        <v>13920</v>
      </c>
      <c r="I104" s="185">
        <f t="shared" si="82"/>
        <v>13920</v>
      </c>
      <c r="J104" s="185">
        <f t="shared" si="82"/>
        <v>13920</v>
      </c>
      <c r="K104" s="185">
        <f t="shared" si="82"/>
        <v>13920</v>
      </c>
      <c r="L104" s="185">
        <f t="shared" si="82"/>
        <v>13920</v>
      </c>
      <c r="M104" s="185">
        <f t="shared" si="82"/>
        <v>13920</v>
      </c>
      <c r="N104" s="185">
        <f t="shared" si="82"/>
        <v>13920</v>
      </c>
      <c r="O104" s="185">
        <f t="shared" si="82"/>
        <v>13920</v>
      </c>
      <c r="P104" s="185">
        <f t="shared" si="82"/>
        <v>13920</v>
      </c>
      <c r="Q104" s="185">
        <f t="shared" si="82"/>
        <v>13920</v>
      </c>
      <c r="R104" s="185">
        <f t="shared" si="82"/>
        <v>13920</v>
      </c>
      <c r="S104" s="188"/>
      <c r="T104" s="188"/>
      <c r="U104" s="189"/>
    </row>
    <row r="105" spans="1:21" ht="4.5" customHeight="1" x14ac:dyDescent="0.35">
      <c r="A105" s="881"/>
      <c r="B105" s="882"/>
      <c r="C105" s="883"/>
      <c r="D105" s="186"/>
      <c r="E105" s="186"/>
      <c r="F105" s="186"/>
      <c r="G105" s="186"/>
      <c r="H105" s="186"/>
      <c r="I105" s="186"/>
      <c r="J105" s="186"/>
      <c r="K105" s="186"/>
      <c r="L105" s="186"/>
      <c r="M105" s="186"/>
      <c r="N105" s="186"/>
      <c r="O105" s="186"/>
      <c r="P105" s="186"/>
      <c r="Q105" s="186"/>
      <c r="R105" s="187"/>
      <c r="S105" s="182"/>
      <c r="T105" s="182"/>
      <c r="U105" s="183"/>
    </row>
    <row r="106" spans="1:21" ht="16.5" customHeight="1" x14ac:dyDescent="0.35">
      <c r="A106" s="950" t="str">
        <f>Eeldused_muugi!A73</f>
        <v>Valve</v>
      </c>
      <c r="B106" s="950"/>
      <c r="C106" s="875" t="s">
        <v>3</v>
      </c>
      <c r="D106" s="171"/>
      <c r="E106" s="171"/>
      <c r="F106" s="171">
        <f>Eeldused_muugi!F73</f>
        <v>12000</v>
      </c>
      <c r="G106" s="171">
        <f>Eeldused_muugi!G73</f>
        <v>12000</v>
      </c>
      <c r="H106" s="171">
        <f>Eeldused_muugi!H73</f>
        <v>12000</v>
      </c>
      <c r="I106" s="171">
        <f>Eeldused_muugi!I73</f>
        <v>12000</v>
      </c>
      <c r="J106" s="171">
        <f>Eeldused_muugi!J73</f>
        <v>12000</v>
      </c>
      <c r="K106" s="171">
        <f>Eeldused_muugi!K73</f>
        <v>12000</v>
      </c>
      <c r="L106" s="171">
        <f>Eeldused_muugi!L73</f>
        <v>12000</v>
      </c>
      <c r="M106" s="171">
        <f>Eeldused_muugi!M73</f>
        <v>12000</v>
      </c>
      <c r="N106" s="171">
        <f>Eeldused_muugi!N73</f>
        <v>12000</v>
      </c>
      <c r="O106" s="171">
        <f>Eeldused_muugi!O73</f>
        <v>12000</v>
      </c>
      <c r="P106" s="171">
        <f>Eeldused_muugi!P73</f>
        <v>12000</v>
      </c>
      <c r="Q106" s="171">
        <f>Eeldused_muugi!Q73</f>
        <v>12000</v>
      </c>
      <c r="R106" s="171">
        <f>Eeldused_muugi!R73</f>
        <v>12000</v>
      </c>
      <c r="S106" s="182"/>
      <c r="T106" s="182"/>
      <c r="U106" s="183"/>
    </row>
    <row r="107" spans="1:21" ht="16.5" customHeight="1" x14ac:dyDescent="0.35">
      <c r="A107" s="950" t="str">
        <f>Eeldused_muugi!A74</f>
        <v>Kindlustus</v>
      </c>
      <c r="B107" s="950"/>
      <c r="C107" s="875" t="s">
        <v>3</v>
      </c>
      <c r="D107" s="171"/>
      <c r="E107" s="171"/>
      <c r="F107" s="171">
        <f>Eeldused_muugi!F74</f>
        <v>8463.7249976800013</v>
      </c>
      <c r="G107" s="171">
        <f>Eeldused_muugi!G74</f>
        <v>8463.7249976800013</v>
      </c>
      <c r="H107" s="171">
        <f>Eeldused_muugi!H74</f>
        <v>8463.7249976800013</v>
      </c>
      <c r="I107" s="171">
        <f>Eeldused_muugi!I74</f>
        <v>8463.7249976800013</v>
      </c>
      <c r="J107" s="171">
        <f>Eeldused_muugi!J74</f>
        <v>8463.7249976800013</v>
      </c>
      <c r="K107" s="171">
        <f>Eeldused_muugi!K74</f>
        <v>8463.7249976800013</v>
      </c>
      <c r="L107" s="171">
        <f>Eeldused_muugi!L74</f>
        <v>8463.7249976800013</v>
      </c>
      <c r="M107" s="171">
        <f>Eeldused_muugi!M74</f>
        <v>8463.7249976800013</v>
      </c>
      <c r="N107" s="171">
        <f>Eeldused_muugi!N74</f>
        <v>8463.7249976800013</v>
      </c>
      <c r="O107" s="171">
        <f>Eeldused_muugi!O74</f>
        <v>8463.7249976800013</v>
      </c>
      <c r="P107" s="171">
        <f>Eeldused_muugi!P74</f>
        <v>8463.7249976800013</v>
      </c>
      <c r="Q107" s="171">
        <f>Eeldused_muugi!Q74</f>
        <v>8463.7249976800013</v>
      </c>
      <c r="R107" s="171">
        <f>Eeldused_muugi!R74</f>
        <v>8463.7249976800013</v>
      </c>
      <c r="S107" s="182"/>
      <c r="T107" s="182"/>
      <c r="U107" s="183"/>
    </row>
    <row r="108" spans="1:21" ht="16.5" customHeight="1" x14ac:dyDescent="0.35">
      <c r="A108" s="950" t="str">
        <f>Eeldused_muugi!A75</f>
        <v>Muu</v>
      </c>
      <c r="B108" s="950"/>
      <c r="C108" s="875" t="s">
        <v>3</v>
      </c>
      <c r="D108" s="171"/>
      <c r="E108" s="171"/>
      <c r="F108" s="171">
        <f>Eeldused_muugi!F75</f>
        <v>6900</v>
      </c>
      <c r="G108" s="171">
        <f>Eeldused_muugi!G75</f>
        <v>6900</v>
      </c>
      <c r="H108" s="171">
        <f>Eeldused_muugi!H75</f>
        <v>6900</v>
      </c>
      <c r="I108" s="171">
        <f>Eeldused_muugi!I75</f>
        <v>6900</v>
      </c>
      <c r="J108" s="171">
        <f>Eeldused_muugi!J75</f>
        <v>6900</v>
      </c>
      <c r="K108" s="171">
        <f>Eeldused_muugi!K75</f>
        <v>6900</v>
      </c>
      <c r="L108" s="171">
        <f>Eeldused_muugi!L75</f>
        <v>6900</v>
      </c>
      <c r="M108" s="171">
        <f>Eeldused_muugi!M75</f>
        <v>6900</v>
      </c>
      <c r="N108" s="171">
        <f>Eeldused_muugi!N75</f>
        <v>6900</v>
      </c>
      <c r="O108" s="171">
        <f>Eeldused_muugi!O75</f>
        <v>6900</v>
      </c>
      <c r="P108" s="171">
        <f>Eeldused_muugi!P75</f>
        <v>6900</v>
      </c>
      <c r="Q108" s="171">
        <f>Eeldused_muugi!Q75</f>
        <v>6900</v>
      </c>
      <c r="R108" s="171">
        <f>Eeldused_muugi!R75</f>
        <v>6900</v>
      </c>
      <c r="S108" s="182"/>
      <c r="T108" s="182"/>
      <c r="U108" s="183"/>
    </row>
    <row r="109" spans="1:21" ht="16.5" hidden="1" customHeight="1" x14ac:dyDescent="0.35">
      <c r="A109" s="950" t="s">
        <v>46</v>
      </c>
      <c r="B109" s="950"/>
      <c r="C109" s="875" t="s">
        <v>3</v>
      </c>
      <c r="D109" s="171"/>
      <c r="E109" s="171"/>
      <c r="F109" s="171"/>
      <c r="G109" s="171"/>
      <c r="H109" s="171"/>
      <c r="I109" s="171"/>
      <c r="J109" s="171"/>
      <c r="K109" s="171"/>
      <c r="L109" s="171"/>
      <c r="M109" s="171"/>
      <c r="N109" s="171"/>
      <c r="O109" s="171"/>
      <c r="P109" s="171"/>
      <c r="Q109" s="171"/>
      <c r="R109" s="171"/>
      <c r="S109" s="182"/>
      <c r="T109" s="182"/>
      <c r="U109" s="183"/>
    </row>
    <row r="110" spans="1:21" ht="16.5" hidden="1" customHeight="1" x14ac:dyDescent="0.35">
      <c r="A110" s="950" t="s">
        <v>47</v>
      </c>
      <c r="B110" s="950"/>
      <c r="C110" s="875"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950" t="s">
        <v>48</v>
      </c>
      <c r="B111" s="950"/>
      <c r="C111" s="875"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950" t="s">
        <v>49</v>
      </c>
      <c r="B112" s="950"/>
      <c r="C112" s="875"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950" t="s">
        <v>50</v>
      </c>
      <c r="B113" s="950"/>
      <c r="C113" s="875"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950" t="s">
        <v>51</v>
      </c>
      <c r="B114" s="950"/>
      <c r="C114" s="875"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950" t="s">
        <v>52</v>
      </c>
      <c r="B115" s="950"/>
      <c r="C115" s="875"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collapsed="1" x14ac:dyDescent="0.35">
      <c r="A116" s="951" t="s">
        <v>42</v>
      </c>
      <c r="B116" s="952"/>
      <c r="C116" s="884" t="s">
        <v>3</v>
      </c>
      <c r="D116" s="185">
        <f t="shared" ref="D116:R116" si="83">SUM(D106:D115)</f>
        <v>0</v>
      </c>
      <c r="E116" s="185">
        <f t="shared" ref="E116:L116" si="84">SUM(E106:E115)</f>
        <v>0</v>
      </c>
      <c r="F116" s="185">
        <f t="shared" si="84"/>
        <v>27363.724997680001</v>
      </c>
      <c r="G116" s="185">
        <f t="shared" si="84"/>
        <v>27363.724997680001</v>
      </c>
      <c r="H116" s="185">
        <f t="shared" si="84"/>
        <v>27363.724997680001</v>
      </c>
      <c r="I116" s="185">
        <f t="shared" si="84"/>
        <v>27363.724997680001</v>
      </c>
      <c r="J116" s="185">
        <f t="shared" si="84"/>
        <v>27363.724997680001</v>
      </c>
      <c r="K116" s="185">
        <f t="shared" si="84"/>
        <v>27363.724997680001</v>
      </c>
      <c r="L116" s="185">
        <f t="shared" si="84"/>
        <v>27363.724997680001</v>
      </c>
      <c r="M116" s="185">
        <f t="shared" si="83"/>
        <v>27363.724997680001</v>
      </c>
      <c r="N116" s="185">
        <f t="shared" si="83"/>
        <v>27363.724997680001</v>
      </c>
      <c r="O116" s="185">
        <f t="shared" si="83"/>
        <v>27363.724997680001</v>
      </c>
      <c r="P116" s="185">
        <f t="shared" si="83"/>
        <v>27363.724997680001</v>
      </c>
      <c r="Q116" s="185">
        <f t="shared" si="83"/>
        <v>27363.724997680001</v>
      </c>
      <c r="R116" s="185">
        <f t="shared" si="83"/>
        <v>27363.724997680001</v>
      </c>
      <c r="S116" s="188"/>
      <c r="T116" s="188"/>
      <c r="U116" s="189"/>
    </row>
    <row r="117" spans="1:21" ht="4.5" customHeight="1" x14ac:dyDescent="0.35">
      <c r="A117" s="881"/>
      <c r="B117" s="882"/>
      <c r="C117" s="883"/>
      <c r="D117" s="186"/>
      <c r="E117" s="186"/>
      <c r="F117" s="186"/>
      <c r="G117" s="186"/>
      <c r="H117" s="186"/>
      <c r="I117" s="186"/>
      <c r="J117" s="186"/>
      <c r="K117" s="186"/>
      <c r="L117" s="186"/>
      <c r="M117" s="186"/>
      <c r="N117" s="186"/>
      <c r="O117" s="186"/>
      <c r="P117" s="186"/>
      <c r="Q117" s="186"/>
      <c r="R117" s="187"/>
      <c r="S117" s="182"/>
      <c r="T117" s="182"/>
      <c r="U117" s="183"/>
    </row>
    <row r="118" spans="1:21" s="179" customFormat="1" ht="20.25" customHeight="1" x14ac:dyDescent="0.35">
      <c r="A118" s="948" t="s">
        <v>43</v>
      </c>
      <c r="B118" s="949"/>
      <c r="C118" s="891" t="s">
        <v>3</v>
      </c>
      <c r="D118" s="177">
        <f t="shared" ref="D118:R118" si="85">D80+D92+D104+D116</f>
        <v>0</v>
      </c>
      <c r="E118" s="177">
        <f t="shared" ref="E118:L118" si="86">E80+E92+E104+E116</f>
        <v>59106.15</v>
      </c>
      <c r="F118" s="177">
        <f t="shared" si="86"/>
        <v>264721.55363368004</v>
      </c>
      <c r="G118" s="177">
        <f t="shared" si="86"/>
        <v>269351.70263368002</v>
      </c>
      <c r="H118" s="177">
        <f t="shared" si="86"/>
        <v>273253.31063368003</v>
      </c>
      <c r="I118" s="177">
        <f t="shared" si="86"/>
        <v>274186.86668368004</v>
      </c>
      <c r="J118" s="177">
        <f t="shared" si="86"/>
        <v>274186.86668368004</v>
      </c>
      <c r="K118" s="177">
        <f t="shared" si="86"/>
        <v>274186.86668368004</v>
      </c>
      <c r="L118" s="177">
        <f t="shared" si="86"/>
        <v>274186.86668368004</v>
      </c>
      <c r="M118" s="177">
        <f t="shared" si="85"/>
        <v>274186.86668368004</v>
      </c>
      <c r="N118" s="177">
        <f t="shared" si="85"/>
        <v>274186.86668368004</v>
      </c>
      <c r="O118" s="177">
        <f t="shared" si="85"/>
        <v>274186.86668368004</v>
      </c>
      <c r="P118" s="177">
        <f t="shared" si="85"/>
        <v>274186.86668368004</v>
      </c>
      <c r="Q118" s="177">
        <f t="shared" si="85"/>
        <v>274186.86668368004</v>
      </c>
      <c r="R118" s="177">
        <f t="shared" si="85"/>
        <v>274186.86668368004</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946" t="s">
        <v>44</v>
      </c>
      <c r="B121" s="947"/>
      <c r="C121" s="196" t="s">
        <v>3</v>
      </c>
      <c r="D121" s="197">
        <f t="shared" ref="D121:R121" si="87">D53-D118</f>
        <v>0</v>
      </c>
      <c r="E121" s="197">
        <f t="shared" si="87"/>
        <v>-59106.15</v>
      </c>
      <c r="F121" s="197">
        <f t="shared" si="87"/>
        <v>-2152.3215856799507</v>
      </c>
      <c r="G121" s="197">
        <f t="shared" si="87"/>
        <v>-6782.4705856799264</v>
      </c>
      <c r="H121" s="197">
        <f t="shared" si="87"/>
        <v>-10684.078585679934</v>
      </c>
      <c r="I121" s="197">
        <f t="shared" si="87"/>
        <v>-11617.634635679948</v>
      </c>
      <c r="J121" s="197">
        <f t="shared" si="87"/>
        <v>-11617.634635679948</v>
      </c>
      <c r="K121" s="197">
        <f t="shared" si="87"/>
        <v>-11617.634635679948</v>
      </c>
      <c r="L121" s="197">
        <f t="shared" si="87"/>
        <v>-11617.634635679948</v>
      </c>
      <c r="M121" s="197">
        <f t="shared" si="87"/>
        <v>-11617.634635679948</v>
      </c>
      <c r="N121" s="197">
        <f t="shared" si="87"/>
        <v>-11617.634635679948</v>
      </c>
      <c r="O121" s="197">
        <f t="shared" si="87"/>
        <v>-11617.634635679948</v>
      </c>
      <c r="P121" s="197">
        <f t="shared" si="87"/>
        <v>-11617.634635679948</v>
      </c>
      <c r="Q121" s="197">
        <f t="shared" si="87"/>
        <v>-11617.634635679948</v>
      </c>
      <c r="R121" s="197">
        <f t="shared" si="87"/>
        <v>-11617.634635679948</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ht="16.5" customHeight="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6.5" customHeight="1" x14ac:dyDescent="0.35">
      <c r="A124" s="946" t="s">
        <v>188</v>
      </c>
      <c r="B124" s="947"/>
      <c r="C124" s="196" t="s">
        <v>3</v>
      </c>
      <c r="D124" s="197">
        <f>D121</f>
        <v>0</v>
      </c>
      <c r="E124" s="197">
        <f>D124+E121</f>
        <v>-59106.15</v>
      </c>
      <c r="F124" s="197">
        <f t="shared" ref="F124:P124" si="88">E124+F121</f>
        <v>-61258.471585679952</v>
      </c>
      <c r="G124" s="197">
        <f t="shared" si="88"/>
        <v>-68040.942171359871</v>
      </c>
      <c r="H124" s="197">
        <f t="shared" si="88"/>
        <v>-78725.020757039805</v>
      </c>
      <c r="I124" s="197">
        <f t="shared" si="88"/>
        <v>-90342.655392719753</v>
      </c>
      <c r="J124" s="197">
        <f t="shared" si="88"/>
        <v>-101960.2900283997</v>
      </c>
      <c r="K124" s="197">
        <f t="shared" si="88"/>
        <v>-113577.92466407965</v>
      </c>
      <c r="L124" s="197">
        <f t="shared" si="88"/>
        <v>-125195.5592997596</v>
      </c>
      <c r="M124" s="197">
        <f t="shared" si="88"/>
        <v>-136813.19393543954</v>
      </c>
      <c r="N124" s="197">
        <f t="shared" si="88"/>
        <v>-148430.82857111949</v>
      </c>
      <c r="O124" s="197">
        <f t="shared" si="88"/>
        <v>-160048.46320679944</v>
      </c>
      <c r="P124" s="197">
        <f t="shared" si="88"/>
        <v>-171666.09784247939</v>
      </c>
      <c r="Q124" s="197">
        <f t="shared" ref="Q124" si="89">P124+Q121</f>
        <v>-183283.73247815933</v>
      </c>
      <c r="R124" s="197">
        <f t="shared" ref="R124" si="90">Q124+R121</f>
        <v>-194901.36711383928</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ht="16.5" customHeight="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sheetProtection insertColumns="0" insertRows="0" deleteColumns="0" deleteRows="0"/>
  <mergeCells count="36">
    <mergeCell ref="A31:A33"/>
    <mergeCell ref="A35:A37"/>
    <mergeCell ref="A39:A41"/>
    <mergeCell ref="A43:A45"/>
    <mergeCell ref="A7:A9"/>
    <mergeCell ref="A11:A13"/>
    <mergeCell ref="A15:A17"/>
    <mergeCell ref="A19:A21"/>
    <mergeCell ref="A23:A25"/>
    <mergeCell ref="A27:A29"/>
    <mergeCell ref="A47:B47"/>
    <mergeCell ref="A48:B48"/>
    <mergeCell ref="A49:B49"/>
    <mergeCell ref="A50:B50"/>
    <mergeCell ref="A51:B51"/>
    <mergeCell ref="A110:B110"/>
    <mergeCell ref="A111:B111"/>
    <mergeCell ref="A82:A91"/>
    <mergeCell ref="A80:B80"/>
    <mergeCell ref="A92:B92"/>
    <mergeCell ref="A94:A103"/>
    <mergeCell ref="A104:B104"/>
    <mergeCell ref="A53:B53"/>
    <mergeCell ref="A106:B106"/>
    <mergeCell ref="A107:B107"/>
    <mergeCell ref="A108:B108"/>
    <mergeCell ref="A109:B109"/>
    <mergeCell ref="A58:A79"/>
    <mergeCell ref="A124:B124"/>
    <mergeCell ref="A118:B118"/>
    <mergeCell ref="A121:B121"/>
    <mergeCell ref="A112:B112"/>
    <mergeCell ref="A113:B113"/>
    <mergeCell ref="A114:B114"/>
    <mergeCell ref="A115:B115"/>
    <mergeCell ref="A116:B116"/>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3"/>
  <sheetViews>
    <sheetView showZeros="0" zoomScale="85" zoomScaleNormal="85" workbookViewId="0">
      <pane xSplit="3" ySplit="2" topLeftCell="D43" activePane="bottomRight" state="frozen"/>
      <selection activeCell="C71" sqref="C71"/>
      <selection pane="topRight" activeCell="C71" sqref="C71"/>
      <selection pane="bottomLeft" activeCell="C71" sqref="C71"/>
      <selection pane="bottomRight" activeCell="D26" sqref="D26"/>
    </sheetView>
  </sheetViews>
  <sheetFormatPr defaultColWidth="9.1796875" defaultRowHeight="14.5" outlineLevelRow="1" x14ac:dyDescent="0.35"/>
  <cols>
    <col min="1" max="1" width="32.81640625" style="768" customWidth="1"/>
    <col min="2" max="2" width="11.81640625" style="768" customWidth="1"/>
    <col min="3" max="3" width="9.26953125" style="768" customWidth="1"/>
    <col min="4" max="5" width="14.1796875" style="768" customWidth="1"/>
    <col min="6" max="6" width="14.81640625" style="768" customWidth="1"/>
    <col min="7" max="7" width="17.453125" style="768" customWidth="1"/>
    <col min="8" max="8" width="16.1796875" style="768" customWidth="1"/>
    <col min="9" max="9" width="11.81640625" style="768" hidden="1" customWidth="1"/>
    <col min="10" max="10" width="15.453125" style="768" hidden="1" customWidth="1"/>
    <col min="11" max="11" width="16.26953125" style="768" hidden="1" customWidth="1"/>
    <col min="12" max="12" width="18.26953125" style="768" customWidth="1"/>
    <col min="13" max="13" width="19.1796875" style="768" customWidth="1"/>
    <col min="14" max="14" width="17" style="768" customWidth="1"/>
    <col min="15" max="16384" width="9.1796875" style="768"/>
  </cols>
  <sheetData>
    <row r="1" spans="1:11" x14ac:dyDescent="0.35">
      <c r="A1" s="767" t="s">
        <v>545</v>
      </c>
      <c r="B1"/>
      <c r="C1"/>
      <c r="D1"/>
      <c r="E1" s="754">
        <f>Eelarve!C27</f>
        <v>-2158.0815856799018</v>
      </c>
      <c r="F1" s="873"/>
      <c r="G1" s="873"/>
      <c r="H1"/>
      <c r="I1"/>
      <c r="J1"/>
      <c r="K1"/>
    </row>
    <row r="2" spans="1:11" ht="43.5" x14ac:dyDescent="0.35">
      <c r="A2" s="755"/>
      <c r="B2" s="769"/>
      <c r="C2" s="770"/>
      <c r="D2" s="756" t="s">
        <v>546</v>
      </c>
      <c r="E2" s="756" t="s">
        <v>547</v>
      </c>
      <c r="F2" s="756" t="s">
        <v>548</v>
      </c>
      <c r="G2" s="756" t="s">
        <v>549</v>
      </c>
      <c r="H2"/>
      <c r="I2"/>
      <c r="J2" s="771" t="s">
        <v>550</v>
      </c>
      <c r="K2" s="771" t="s">
        <v>551</v>
      </c>
    </row>
    <row r="3" spans="1:11" x14ac:dyDescent="0.35">
      <c r="A3" s="772" t="s">
        <v>552</v>
      </c>
      <c r="B3" s="773"/>
      <c r="C3" s="774"/>
      <c r="D3" s="774"/>
      <c r="E3" s="774"/>
      <c r="F3" s="755"/>
      <c r="G3" s="755"/>
      <c r="H3"/>
      <c r="I3"/>
      <c r="J3" s="755"/>
      <c r="K3" s="755"/>
    </row>
    <row r="4" spans="1:11" x14ac:dyDescent="0.35">
      <c r="A4" s="775" t="s">
        <v>553</v>
      </c>
      <c r="B4" s="773"/>
      <c r="C4" s="774"/>
      <c r="D4" s="774"/>
      <c r="E4" s="774">
        <f>E23+E22+E19+E13+E5</f>
        <v>71081.56863600004</v>
      </c>
      <c r="F4" s="776">
        <f>F23+F22+F19+F13+F5</f>
        <v>55433.23204800002</v>
      </c>
      <c r="G4" s="774">
        <f>G23+G22+G19+G13+G5</f>
        <v>15648.336588000013</v>
      </c>
      <c r="H4" s="833">
        <f t="shared" ref="H4:H41" si="0">G4/$G$64</f>
        <v>8.7811325356632414E-2</v>
      </c>
      <c r="I4"/>
      <c r="J4" s="774">
        <f>J23+J22+J19+J13+J5</f>
        <v>53838.296640000022</v>
      </c>
      <c r="K4" s="774">
        <f>K23+K22+K19+K13+K5</f>
        <v>1594.9354080000003</v>
      </c>
    </row>
    <row r="5" spans="1:11" x14ac:dyDescent="0.35">
      <c r="A5" s="777" t="s">
        <v>554</v>
      </c>
      <c r="B5" s="778" t="s">
        <v>555</v>
      </c>
      <c r="C5" s="774">
        <f>C6+C9</f>
        <v>584.86789360000034</v>
      </c>
      <c r="D5" s="779"/>
      <c r="E5" s="774">
        <f>E6+E9</f>
        <v>35092.073616000023</v>
      </c>
      <c r="F5" s="776">
        <f>F6+F9</f>
        <v>19904.375388000011</v>
      </c>
      <c r="G5" s="774">
        <f>E5-F5</f>
        <v>15187.698228000012</v>
      </c>
      <c r="H5" s="833">
        <f t="shared" si="0"/>
        <v>8.5226433047201622E-2</v>
      </c>
      <c r="I5"/>
      <c r="J5" s="774">
        <f>J6+J9</f>
        <v>18866.708640000012</v>
      </c>
      <c r="K5" s="774">
        <f>K6+K9</f>
        <v>1037.6667480000003</v>
      </c>
    </row>
    <row r="6" spans="1:11" hidden="1" outlineLevel="1" x14ac:dyDescent="0.35">
      <c r="A6" s="780" t="s">
        <v>534</v>
      </c>
      <c r="B6" s="778" t="s">
        <v>555</v>
      </c>
      <c r="C6" s="781">
        <f>SUM(C7:C8)</f>
        <v>550.27900200000033</v>
      </c>
      <c r="D6" s="779"/>
      <c r="E6" s="781">
        <f>SUM(E7:E8)</f>
        <v>33016.740120000024</v>
      </c>
      <c r="F6" s="782">
        <f>SUM(F7:F8)</f>
        <v>18866.708640000012</v>
      </c>
      <c r="G6" s="781">
        <f>E6-F6</f>
        <v>14150.031480000012</v>
      </c>
      <c r="H6" s="833">
        <f t="shared" si="0"/>
        <v>7.9403520694315402E-2</v>
      </c>
      <c r="I6"/>
      <c r="J6" s="761">
        <f>F6</f>
        <v>18866.708640000012</v>
      </c>
      <c r="K6" s="755"/>
    </row>
    <row r="7" spans="1:11" hidden="1" outlineLevel="1" x14ac:dyDescent="0.35">
      <c r="A7" s="783" t="s">
        <v>556</v>
      </c>
      <c r="B7" s="778" t="s">
        <v>555</v>
      </c>
      <c r="C7" s="781">
        <f>Sisendandmed!C14*Помещения!D67*Sisendandmed!C3/1000</f>
        <v>314.4451440000002</v>
      </c>
      <c r="D7" s="784"/>
      <c r="E7" s="781">
        <f>C7*Sisendandmed!$C$7</f>
        <v>18866.708640000012</v>
      </c>
      <c r="F7" s="782">
        <f>E7</f>
        <v>18866.708640000012</v>
      </c>
      <c r="G7" s="781">
        <f>E7-F7</f>
        <v>0</v>
      </c>
      <c r="H7" s="833">
        <f t="shared" si="0"/>
        <v>0</v>
      </c>
      <c r="I7"/>
      <c r="J7" s="761">
        <f>F7</f>
        <v>18866.708640000012</v>
      </c>
      <c r="K7" s="755"/>
    </row>
    <row r="8" spans="1:11" hidden="1" outlineLevel="1" x14ac:dyDescent="0.35">
      <c r="A8" s="783" t="s">
        <v>557</v>
      </c>
      <c r="B8" s="778" t="s">
        <v>555</v>
      </c>
      <c r="C8" s="781">
        <f>Sisendandmed!D14*Помещения!D67*(1-Sisendandmed!C3)/1000</f>
        <v>235.83385800000016</v>
      </c>
      <c r="D8" s="784"/>
      <c r="E8" s="781">
        <f>C8*Sisendandmed!$C$7</f>
        <v>14150.031480000011</v>
      </c>
      <c r="F8" s="782"/>
      <c r="G8" s="781">
        <f>E8-F8</f>
        <v>14150.031480000011</v>
      </c>
      <c r="H8" s="833">
        <f t="shared" si="0"/>
        <v>7.9403520694315402E-2</v>
      </c>
      <c r="I8"/>
      <c r="J8" s="755"/>
      <c r="K8" s="755"/>
    </row>
    <row r="9" spans="1:11" hidden="1" outlineLevel="1" x14ac:dyDescent="0.35">
      <c r="A9" s="780" t="s">
        <v>535</v>
      </c>
      <c r="B9" s="778" t="s">
        <v>555</v>
      </c>
      <c r="C9" s="781">
        <f>SUM(C10:C12)</f>
        <v>34.588891600000011</v>
      </c>
      <c r="D9" s="784"/>
      <c r="E9" s="781">
        <f>SUM(E10:E12)</f>
        <v>2075.3334960000007</v>
      </c>
      <c r="F9" s="782">
        <f>SUM(F10:F12)</f>
        <v>1037.6667480000003</v>
      </c>
      <c r="G9" s="781">
        <f>SUM(G10:G12)</f>
        <v>1037.6667480000003</v>
      </c>
      <c r="H9" s="833">
        <f t="shared" si="0"/>
        <v>5.8229123528862232E-3</v>
      </c>
      <c r="I9"/>
      <c r="J9" s="755"/>
      <c r="K9" s="761">
        <f>F9</f>
        <v>1037.6667480000003</v>
      </c>
    </row>
    <row r="10" spans="1:11" hidden="1" outlineLevel="1" x14ac:dyDescent="0.35">
      <c r="A10" s="783" t="s">
        <v>556</v>
      </c>
      <c r="B10" s="778" t="s">
        <v>555</v>
      </c>
      <c r="C10" s="781">
        <f>Sisendandmed!C15*Помещения!D62*Sisendandmed!C3/1000</f>
        <v>6.7028512000000005</v>
      </c>
      <c r="D10" s="784"/>
      <c r="E10" s="781">
        <f>C10*Sisendandmed!$C$7</f>
        <v>402.17107200000004</v>
      </c>
      <c r="F10" s="782">
        <f>E10</f>
        <v>402.17107200000004</v>
      </c>
      <c r="G10" s="781">
        <f>E10-F10</f>
        <v>0</v>
      </c>
      <c r="H10" s="833">
        <f t="shared" si="0"/>
        <v>0</v>
      </c>
      <c r="I10"/>
      <c r="J10" s="755"/>
      <c r="K10" s="761">
        <f>F10</f>
        <v>402.17107200000004</v>
      </c>
    </row>
    <row r="11" spans="1:11" ht="27" hidden="1" customHeight="1" outlineLevel="1" x14ac:dyDescent="0.35">
      <c r="A11" s="783" t="s">
        <v>558</v>
      </c>
      <c r="B11" s="778" t="s">
        <v>555</v>
      </c>
      <c r="C11" s="781">
        <f>Sisendandmed!C15*Помещения!D62*(1-Sisendandmed!C3)/1000</f>
        <v>6.7028512000000005</v>
      </c>
      <c r="D11" s="784"/>
      <c r="E11" s="781">
        <f>C11*Sisendandmed!$C$7</f>
        <v>402.17107200000004</v>
      </c>
      <c r="F11" s="782"/>
      <c r="G11" s="781">
        <f>E11</f>
        <v>402.17107200000004</v>
      </c>
      <c r="H11" s="833">
        <f t="shared" si="0"/>
        <v>2.2568005649558445E-3</v>
      </c>
      <c r="I11"/>
      <c r="J11" s="755"/>
      <c r="K11" s="755"/>
    </row>
    <row r="12" spans="1:11" hidden="1" outlineLevel="1" x14ac:dyDescent="0.35">
      <c r="A12" s="783" t="s">
        <v>559</v>
      </c>
      <c r="B12" s="778" t="s">
        <v>555</v>
      </c>
      <c r="C12" s="781">
        <f>Sisendandmed!C15*Помещения!F62/1000</f>
        <v>21.183189200000008</v>
      </c>
      <c r="D12" s="784"/>
      <c r="E12" s="781">
        <f>C12*Sisendandmed!$C$7</f>
        <v>1270.9913520000005</v>
      </c>
      <c r="F12" s="782">
        <f>Sisendandmed!$C$3*Kulud!E12</f>
        <v>635.49567600000023</v>
      </c>
      <c r="G12" s="781">
        <f>E12-F12</f>
        <v>635.49567600000023</v>
      </c>
      <c r="H12" s="833">
        <f t="shared" si="0"/>
        <v>3.5661117879303779E-3</v>
      </c>
      <c r="I12"/>
      <c r="J12" s="755"/>
      <c r="K12" s="761">
        <f>F12</f>
        <v>635.49567600000023</v>
      </c>
    </row>
    <row r="13" spans="1:11" collapsed="1" x14ac:dyDescent="0.35">
      <c r="A13" s="777" t="s">
        <v>560</v>
      </c>
      <c r="B13" s="778" t="s">
        <v>561</v>
      </c>
      <c r="C13" s="774">
        <f>C14+C16</f>
        <v>122208.03000000006</v>
      </c>
      <c r="D13" s="779"/>
      <c r="E13" s="774">
        <f>E14+E16</f>
        <v>28596.67902000001</v>
      </c>
      <c r="F13" s="776">
        <f>F14+F16</f>
        <v>28136.040660000013</v>
      </c>
      <c r="G13" s="774">
        <f>G14+G16</f>
        <v>460.63836000000009</v>
      </c>
      <c r="H13" s="834">
        <f t="shared" si="0"/>
        <v>2.5848923094307836E-3</v>
      </c>
      <c r="I13"/>
      <c r="J13" s="774">
        <f>J14+J16</f>
        <v>27578.772000000012</v>
      </c>
      <c r="K13" s="774">
        <f>K14+K16</f>
        <v>557.26866000000007</v>
      </c>
    </row>
    <row r="14" spans="1:11" hidden="1" outlineLevel="1" x14ac:dyDescent="0.35">
      <c r="A14" s="780" t="s">
        <v>534</v>
      </c>
      <c r="B14" s="778" t="s">
        <v>562</v>
      </c>
      <c r="C14" s="781">
        <f>C15</f>
        <v>117858.00000000006</v>
      </c>
      <c r="D14" s="784"/>
      <c r="E14" s="781">
        <f>E15</f>
        <v>27578.772000000012</v>
      </c>
      <c r="F14" s="782">
        <f>F15</f>
        <v>27578.772000000012</v>
      </c>
      <c r="G14" s="781">
        <f>G15</f>
        <v>0</v>
      </c>
      <c r="H14" s="834">
        <f t="shared" si="0"/>
        <v>0</v>
      </c>
      <c r="I14"/>
      <c r="J14" s="761">
        <f>F14</f>
        <v>27578.772000000012</v>
      </c>
      <c r="K14" s="755"/>
    </row>
    <row r="15" spans="1:11" hidden="1" outlineLevel="1" x14ac:dyDescent="0.35">
      <c r="A15" s="783" t="s">
        <v>556</v>
      </c>
      <c r="B15" s="778" t="s">
        <v>562</v>
      </c>
      <c r="C15" s="781">
        <f>Sisendandmed!C20*Sisendandmed!C30*Sisendandmed!H35/1000</f>
        <v>117858.00000000006</v>
      </c>
      <c r="D15" s="784"/>
      <c r="E15" s="781">
        <f>C15*Sisendandmed!C8</f>
        <v>27578.772000000012</v>
      </c>
      <c r="F15" s="782">
        <f>E15</f>
        <v>27578.772000000012</v>
      </c>
      <c r="G15" s="781"/>
      <c r="H15" s="834">
        <f t="shared" si="0"/>
        <v>0</v>
      </c>
      <c r="I15"/>
      <c r="J15" s="761">
        <f>F15</f>
        <v>27578.772000000012</v>
      </c>
      <c r="K15" s="755"/>
    </row>
    <row r="16" spans="1:11" hidden="1" outlineLevel="1" x14ac:dyDescent="0.35">
      <c r="A16" s="780" t="s">
        <v>535</v>
      </c>
      <c r="B16" s="778" t="s">
        <v>562</v>
      </c>
      <c r="C16" s="781">
        <f>SUM(C17:C18)</f>
        <v>4350.0300000000007</v>
      </c>
      <c r="D16" s="784"/>
      <c r="E16" s="781">
        <f>SUM(E17:E18)</f>
        <v>1017.9070200000001</v>
      </c>
      <c r="F16" s="782">
        <f>SUM(F17:F18)</f>
        <v>557.26866000000007</v>
      </c>
      <c r="G16" s="781">
        <f>SUM(G17:G18)</f>
        <v>460.63836000000009</v>
      </c>
      <c r="H16" s="834">
        <f t="shared" si="0"/>
        <v>2.5848923094307836E-3</v>
      </c>
      <c r="I16"/>
      <c r="J16" s="755"/>
      <c r="K16" s="761">
        <f>F16</f>
        <v>557.26866000000007</v>
      </c>
    </row>
    <row r="17" spans="1:11" hidden="1" outlineLevel="1" x14ac:dyDescent="0.35">
      <c r="A17" s="783" t="s">
        <v>556</v>
      </c>
      <c r="B17" s="778" t="s">
        <v>562</v>
      </c>
      <c r="C17" s="781">
        <f>Sisendandmed!C21*Sisendandmed!C31*Sisendandmed!H36/1000</f>
        <v>412.94999999999993</v>
      </c>
      <c r="D17" s="784"/>
      <c r="E17" s="781">
        <f>C17*Sisendandmed!$C$8</f>
        <v>96.630299999999977</v>
      </c>
      <c r="F17" s="782">
        <f>E17</f>
        <v>96.630299999999977</v>
      </c>
      <c r="G17" s="781"/>
      <c r="H17" s="834">
        <f t="shared" si="0"/>
        <v>0</v>
      </c>
      <c r="I17"/>
      <c r="J17" s="755"/>
      <c r="K17" s="761">
        <f>F17</f>
        <v>96.630299999999977</v>
      </c>
    </row>
    <row r="18" spans="1:11" hidden="1" outlineLevel="1" x14ac:dyDescent="0.35">
      <c r="A18" s="783" t="s">
        <v>559</v>
      </c>
      <c r="B18" s="778" t="s">
        <v>562</v>
      </c>
      <c r="C18" s="781">
        <f>Sisendandmed!D21*Sisendandmed!D31*Sisendandmed!H37/1000</f>
        <v>3937.0800000000008</v>
      </c>
      <c r="D18" s="784"/>
      <c r="E18" s="781">
        <f>C18*Sisendandmed!C8</f>
        <v>921.27672000000018</v>
      </c>
      <c r="F18" s="782">
        <f>Sisendandmed!$C$3*Kulud!E18</f>
        <v>460.63836000000009</v>
      </c>
      <c r="G18" s="781">
        <f>E18-F18</f>
        <v>460.63836000000009</v>
      </c>
      <c r="H18" s="834">
        <f t="shared" si="0"/>
        <v>2.5848923094307836E-3</v>
      </c>
      <c r="I18"/>
      <c r="J18" s="755"/>
      <c r="K18" s="761">
        <f>F18</f>
        <v>460.63836000000009</v>
      </c>
    </row>
    <row r="19" spans="1:11" collapsed="1" x14ac:dyDescent="0.35">
      <c r="A19" s="777" t="s">
        <v>563</v>
      </c>
      <c r="B19" s="773" t="s">
        <v>564</v>
      </c>
      <c r="C19" s="774">
        <f>SUM(C20:C21)</f>
        <v>2197.44</v>
      </c>
      <c r="D19" s="774"/>
      <c r="E19" s="774">
        <f>C19*Sisendandmed!C9</f>
        <v>4175.1359999999995</v>
      </c>
      <c r="F19" s="785">
        <f>E19</f>
        <v>4175.1359999999995</v>
      </c>
      <c r="G19" s="755"/>
      <c r="H19" s="834">
        <f t="shared" si="0"/>
        <v>0</v>
      </c>
      <c r="I19"/>
      <c r="J19" s="761">
        <f>F19</f>
        <v>4175.1359999999995</v>
      </c>
      <c r="K19" s="755"/>
    </row>
    <row r="20" spans="1:11" hidden="1" outlineLevel="1" x14ac:dyDescent="0.35">
      <c r="A20" s="783" t="s">
        <v>565</v>
      </c>
      <c r="B20" s="773" t="s">
        <v>564</v>
      </c>
      <c r="C20" s="774">
        <f>Sisendandmed!C23*Sisendandmed!C46*12</f>
        <v>1318.4639999999999</v>
      </c>
      <c r="D20" s="774"/>
      <c r="E20" s="774"/>
      <c r="F20" s="786"/>
      <c r="G20" s="755"/>
      <c r="H20" s="834">
        <f t="shared" si="0"/>
        <v>0</v>
      </c>
      <c r="I20"/>
      <c r="J20" s="755"/>
      <c r="K20" s="755"/>
    </row>
    <row r="21" spans="1:11" hidden="1" outlineLevel="1" x14ac:dyDescent="0.35">
      <c r="A21" s="783" t="s">
        <v>566</v>
      </c>
      <c r="B21" s="773" t="s">
        <v>564</v>
      </c>
      <c r="C21" s="774">
        <f>Sisendandmed!C24*Sisendandmed!C46*12</f>
        <v>878.97600000000011</v>
      </c>
      <c r="D21" s="774"/>
      <c r="E21" s="774"/>
      <c r="F21" s="786"/>
      <c r="G21" s="755"/>
      <c r="H21" s="834">
        <f t="shared" si="0"/>
        <v>0</v>
      </c>
      <c r="I21"/>
      <c r="J21" s="755"/>
      <c r="K21" s="755"/>
    </row>
    <row r="22" spans="1:11" collapsed="1" x14ac:dyDescent="0.35">
      <c r="A22" s="777" t="s">
        <v>567</v>
      </c>
      <c r="B22" s="778" t="s">
        <v>555</v>
      </c>
      <c r="C22" s="774">
        <f>Sisendandmed!C25*Sisendandmed!C46</f>
        <v>53.628</v>
      </c>
      <c r="D22" s="774"/>
      <c r="E22" s="774">
        <f>$C$22*Sisendandmed!$C$7</f>
        <v>3217.68</v>
      </c>
      <c r="F22" s="785">
        <f>E22</f>
        <v>3217.68</v>
      </c>
      <c r="G22" s="755"/>
      <c r="H22" s="834">
        <f t="shared" si="0"/>
        <v>0</v>
      </c>
      <c r="I22"/>
      <c r="J22" s="761">
        <f>F22</f>
        <v>3217.68</v>
      </c>
      <c r="K22" s="755"/>
    </row>
    <row r="23" spans="1:11" x14ac:dyDescent="0.35">
      <c r="A23" s="777"/>
      <c r="B23" s="773"/>
      <c r="C23" s="774"/>
      <c r="D23" s="755"/>
      <c r="E23" s="774"/>
      <c r="F23" s="782"/>
      <c r="G23" s="781"/>
      <c r="H23" s="833">
        <f t="shared" si="0"/>
        <v>0</v>
      </c>
      <c r="I23"/>
      <c r="J23" s="755"/>
      <c r="K23" s="761">
        <f>F23</f>
        <v>0</v>
      </c>
    </row>
    <row r="24" spans="1:11" hidden="1" x14ac:dyDescent="0.35">
      <c r="A24" s="787"/>
      <c r="B24" s="778"/>
      <c r="C24" s="774"/>
      <c r="D24" s="755"/>
      <c r="E24" s="774"/>
      <c r="F24" s="785"/>
      <c r="G24" s="781"/>
      <c r="H24" s="833">
        <f t="shared" si="0"/>
        <v>0</v>
      </c>
      <c r="I24"/>
      <c r="J24" s="761">
        <f>F24</f>
        <v>0</v>
      </c>
      <c r="K24" s="761"/>
    </row>
    <row r="25" spans="1:11" x14ac:dyDescent="0.35">
      <c r="A25" s="775" t="s">
        <v>568</v>
      </c>
      <c r="B25" s="788"/>
      <c r="C25" s="779"/>
      <c r="D25" s="774">
        <f>SUM(D26:D28)</f>
        <v>7556.8349999999991</v>
      </c>
      <c r="E25" s="774">
        <f>SUM(E26:E28)</f>
        <v>90682.01999999999</v>
      </c>
      <c r="F25" s="785">
        <f>SUM(F26:F28)</f>
        <v>0</v>
      </c>
      <c r="G25" s="761">
        <f>SUM(G26:G28)</f>
        <v>90682.01999999999</v>
      </c>
      <c r="H25" s="833">
        <f t="shared" si="0"/>
        <v>0.5088661224428821</v>
      </c>
      <c r="I25"/>
      <c r="J25" s="774">
        <f>J26+J28</f>
        <v>0</v>
      </c>
      <c r="K25" s="774">
        <f>K26+K28</f>
        <v>0</v>
      </c>
    </row>
    <row r="26" spans="1:11" outlineLevel="1" x14ac:dyDescent="0.35">
      <c r="A26" s="788" t="s">
        <v>633</v>
      </c>
      <c r="B26" s="789" t="s">
        <v>569</v>
      </c>
      <c r="C26" s="790">
        <f>2215</f>
        <v>2215</v>
      </c>
      <c r="D26" s="774">
        <f>C26*0.5*1.338</f>
        <v>1481.835</v>
      </c>
      <c r="E26" s="774">
        <f>D26*12</f>
        <v>17782.02</v>
      </c>
      <c r="F26" s="786"/>
      <c r="G26" s="761">
        <f>E26</f>
        <v>17782.02</v>
      </c>
      <c r="H26" s="833">
        <f t="shared" si="0"/>
        <v>9.9784583168766858E-2</v>
      </c>
      <c r="I26"/>
      <c r="J26" s="755"/>
      <c r="K26" s="755"/>
    </row>
    <row r="27" spans="1:11" outlineLevel="1" x14ac:dyDescent="0.35">
      <c r="A27" s="788" t="s">
        <v>634</v>
      </c>
      <c r="B27" s="789" t="s">
        <v>569</v>
      </c>
      <c r="C27" s="790">
        <f>3780/1.338</f>
        <v>2825.112107623318</v>
      </c>
      <c r="D27" s="774">
        <f>C27*1.338</f>
        <v>3779.9999999999995</v>
      </c>
      <c r="E27" s="774">
        <f>D27*12</f>
        <v>45359.999999999993</v>
      </c>
      <c r="F27" s="786"/>
      <c r="G27" s="761">
        <f>E27</f>
        <v>45359.999999999993</v>
      </c>
      <c r="H27" s="833">
        <f t="shared" si="0"/>
        <v>0.25453962443722727</v>
      </c>
      <c r="I27"/>
      <c r="J27" s="755"/>
      <c r="K27" s="755"/>
    </row>
    <row r="28" spans="1:11" outlineLevel="1" x14ac:dyDescent="0.35">
      <c r="A28" s="777" t="s">
        <v>635</v>
      </c>
      <c r="B28" s="755"/>
      <c r="C28" s="774">
        <f>4590/1.338/2</f>
        <v>1715.2466367713002</v>
      </c>
      <c r="D28" s="774">
        <f>C28*1.338</f>
        <v>2295</v>
      </c>
      <c r="E28" s="774">
        <f>D28*12</f>
        <v>27540</v>
      </c>
      <c r="F28" s="786"/>
      <c r="G28" s="761">
        <f>E28</f>
        <v>27540</v>
      </c>
      <c r="H28" s="833">
        <f t="shared" si="0"/>
        <v>0.15454191483688801</v>
      </c>
      <c r="I28"/>
      <c r="J28" s="755"/>
      <c r="K28" s="755"/>
    </row>
    <row r="29" spans="1:11" x14ac:dyDescent="0.35">
      <c r="A29" s="775" t="s">
        <v>570</v>
      </c>
      <c r="B29" s="791"/>
      <c r="C29" s="792"/>
      <c r="D29" s="792"/>
      <c r="E29" s="792">
        <f>SUM(E30:E32)</f>
        <v>17500</v>
      </c>
      <c r="F29" s="785">
        <f>SUM(F30:F32)</f>
        <v>0</v>
      </c>
      <c r="G29" s="761">
        <f>SUM(G30:G32)</f>
        <v>17500</v>
      </c>
      <c r="H29" s="833">
        <f t="shared" si="0"/>
        <v>9.8202015600782136E-2</v>
      </c>
      <c r="I29"/>
      <c r="J29" s="792">
        <f>SUM(J30:J32)</f>
        <v>0</v>
      </c>
      <c r="K29" s="792">
        <f>SUM(K30:K32)</f>
        <v>0</v>
      </c>
    </row>
    <row r="30" spans="1:11" ht="29" outlineLevel="1" x14ac:dyDescent="0.35">
      <c r="A30" s="788" t="s">
        <v>571</v>
      </c>
      <c r="B30" s="773"/>
      <c r="C30" s="774"/>
      <c r="D30" s="774">
        <f>E30/12</f>
        <v>520.83333333333337</v>
      </c>
      <c r="E30" s="774">
        <f>Sisendandmed!C51*Sisendandmed!C52*Sisendandmed!C41/Sisendandmed!C54</f>
        <v>6250</v>
      </c>
      <c r="F30" s="786"/>
      <c r="G30" s="785">
        <f>E30</f>
        <v>6250</v>
      </c>
      <c r="H30" s="833">
        <f t="shared" si="0"/>
        <v>3.5072148428850765E-2</v>
      </c>
      <c r="I30"/>
      <c r="J30" s="755"/>
      <c r="K30" s="755"/>
    </row>
    <row r="31" spans="1:11" ht="29" outlineLevel="1" x14ac:dyDescent="0.35">
      <c r="A31" s="788" t="s">
        <v>572</v>
      </c>
      <c r="B31" s="773"/>
      <c r="C31" s="774"/>
      <c r="D31" s="774">
        <f>E31/12</f>
        <v>520.83333333333337</v>
      </c>
      <c r="E31" s="774">
        <f>Sisendandmed!C53*Sisendandmed!C52*Sisendandmed!C41/Sisendandmed!C54</f>
        <v>6250</v>
      </c>
      <c r="F31" s="786"/>
      <c r="G31" s="785">
        <f>E31</f>
        <v>6250</v>
      </c>
      <c r="H31" s="833">
        <f t="shared" si="0"/>
        <v>3.5072148428850765E-2</v>
      </c>
      <c r="I31"/>
      <c r="J31" s="755"/>
      <c r="K31" s="755"/>
    </row>
    <row r="32" spans="1:11" x14ac:dyDescent="0.35">
      <c r="A32" s="788" t="s">
        <v>573</v>
      </c>
      <c r="B32" s="773"/>
      <c r="C32" s="774"/>
      <c r="D32" s="774">
        <f>E32/12</f>
        <v>416.66666666666669</v>
      </c>
      <c r="E32" s="790">
        <f>Sisendandmed!C55</f>
        <v>5000</v>
      </c>
      <c r="F32" s="786"/>
      <c r="G32" s="785">
        <f>E32</f>
        <v>5000</v>
      </c>
      <c r="H32" s="833">
        <f t="shared" si="0"/>
        <v>2.8057718743080613E-2</v>
      </c>
      <c r="I32"/>
      <c r="J32" s="755"/>
      <c r="K32" s="755"/>
    </row>
    <row r="33" spans="1:11" outlineLevel="1" x14ac:dyDescent="0.35">
      <c r="A33" s="775" t="s">
        <v>574</v>
      </c>
      <c r="B33" s="773"/>
      <c r="C33" s="774"/>
      <c r="D33" s="774"/>
      <c r="E33" s="774">
        <f>E34+E35</f>
        <v>15600</v>
      </c>
      <c r="F33" s="785">
        <f>SUM(F34:F35)</f>
        <v>0</v>
      </c>
      <c r="G33" s="785">
        <f>SUM(G34:G35)</f>
        <v>15600</v>
      </c>
      <c r="H33" s="833">
        <f t="shared" si="0"/>
        <v>8.754008247841151E-2</v>
      </c>
      <c r="I33"/>
      <c r="J33" s="774">
        <f>J34+J35</f>
        <v>0</v>
      </c>
      <c r="K33" s="774">
        <f>K34+K35</f>
        <v>0</v>
      </c>
    </row>
    <row r="34" spans="1:11" ht="22" outlineLevel="1" x14ac:dyDescent="0.35">
      <c r="A34" s="788" t="s">
        <v>575</v>
      </c>
      <c r="B34" s="789" t="s">
        <v>576</v>
      </c>
      <c r="C34" s="774"/>
      <c r="D34" s="790">
        <v>1100</v>
      </c>
      <c r="E34" s="774">
        <f>D34*12</f>
        <v>13200</v>
      </c>
      <c r="F34" s="786"/>
      <c r="G34" s="785">
        <f>E34</f>
        <v>13200</v>
      </c>
      <c r="H34" s="833">
        <f t="shared" si="0"/>
        <v>7.4072377481732815E-2</v>
      </c>
      <c r="I34"/>
      <c r="J34" s="755"/>
      <c r="K34" s="755"/>
    </row>
    <row r="35" spans="1:11" ht="29" x14ac:dyDescent="0.35">
      <c r="A35" s="788" t="s">
        <v>577</v>
      </c>
      <c r="B35" s="773"/>
      <c r="C35" s="774"/>
      <c r="D35" s="790">
        <v>200</v>
      </c>
      <c r="E35" s="774">
        <f>D35*12</f>
        <v>2400</v>
      </c>
      <c r="F35" s="786"/>
      <c r="G35" s="785">
        <f>E35</f>
        <v>2400</v>
      </c>
      <c r="H35" s="833">
        <f t="shared" si="0"/>
        <v>1.3467704996678693E-2</v>
      </c>
      <c r="I35"/>
      <c r="J35" s="755"/>
      <c r="K35" s="755"/>
    </row>
    <row r="36" spans="1:11" outlineLevel="1" x14ac:dyDescent="0.35">
      <c r="A36" s="788"/>
      <c r="B36" s="773"/>
      <c r="C36" s="774"/>
      <c r="D36" s="774"/>
      <c r="E36" s="774"/>
      <c r="F36" s="786"/>
      <c r="G36" s="785"/>
      <c r="H36" s="833">
        <f t="shared" si="0"/>
        <v>0</v>
      </c>
      <c r="I36"/>
      <c r="J36" s="755"/>
      <c r="K36" s="755"/>
    </row>
    <row r="37" spans="1:11" outlineLevel="1" x14ac:dyDescent="0.35">
      <c r="A37" s="788"/>
      <c r="B37" s="773"/>
      <c r="C37" s="774"/>
      <c r="D37" s="774"/>
      <c r="E37" s="774"/>
      <c r="F37" s="786"/>
      <c r="G37" s="785"/>
      <c r="H37" s="833">
        <f t="shared" si="0"/>
        <v>0</v>
      </c>
      <c r="I37"/>
      <c r="J37" s="755"/>
      <c r="K37" s="755"/>
    </row>
    <row r="38" spans="1:11" outlineLevel="1" x14ac:dyDescent="0.35">
      <c r="A38" s="775" t="s">
        <v>578</v>
      </c>
      <c r="B38" s="773"/>
      <c r="C38" s="774"/>
      <c r="D38" s="774"/>
      <c r="E38" s="774">
        <f>SUM(E39:E44)</f>
        <v>13920</v>
      </c>
      <c r="F38" s="786">
        <f t="shared" ref="F38:G38" si="1">SUM(F39:F44)</f>
        <v>0</v>
      </c>
      <c r="G38" s="785">
        <f t="shared" si="1"/>
        <v>4920</v>
      </c>
      <c r="H38" s="833">
        <f t="shared" si="0"/>
        <v>2.7608795243191323E-2</v>
      </c>
      <c r="I38"/>
      <c r="J38" s="774">
        <f t="shared" ref="J38:K38" si="2">SUM(J39:J44)</f>
        <v>0</v>
      </c>
      <c r="K38" s="774">
        <f t="shared" si="2"/>
        <v>0</v>
      </c>
    </row>
    <row r="39" spans="1:11" ht="18" customHeight="1" x14ac:dyDescent="0.35">
      <c r="A39" s="788" t="s">
        <v>579</v>
      </c>
      <c r="B39" s="773"/>
      <c r="C39" s="774"/>
      <c r="D39" s="774">
        <v>160</v>
      </c>
      <c r="E39" s="774">
        <f>D39*12</f>
        <v>1920</v>
      </c>
      <c r="F39" s="786"/>
      <c r="G39" s="785">
        <f>E39</f>
        <v>1920</v>
      </c>
      <c r="H39" s="833">
        <f t="shared" si="0"/>
        <v>1.0774163997342955E-2</v>
      </c>
      <c r="I39"/>
      <c r="J39" s="755"/>
      <c r="K39" s="755"/>
    </row>
    <row r="40" spans="1:11" outlineLevel="1" x14ac:dyDescent="0.35">
      <c r="A40" s="788" t="s">
        <v>580</v>
      </c>
      <c r="B40" s="773"/>
      <c r="C40" s="774"/>
      <c r="D40" s="774">
        <f>E40/12</f>
        <v>250</v>
      </c>
      <c r="E40" s="774">
        <v>3000</v>
      </c>
      <c r="F40" s="786"/>
      <c r="G40" s="785">
        <f>E40</f>
        <v>3000</v>
      </c>
      <c r="H40" s="833">
        <f t="shared" si="0"/>
        <v>1.6834631245848369E-2</v>
      </c>
      <c r="I40"/>
      <c r="J40" s="755"/>
      <c r="K40" s="755"/>
    </row>
    <row r="41" spans="1:11" outlineLevel="1" x14ac:dyDescent="0.35">
      <c r="A41" s="788" t="s">
        <v>581</v>
      </c>
      <c r="B41" s="773"/>
      <c r="C41" s="774"/>
      <c r="D41" s="774"/>
      <c r="E41" s="774"/>
      <c r="F41" s="786"/>
      <c r="G41" s="785"/>
      <c r="H41" s="833">
        <f t="shared" si="0"/>
        <v>0</v>
      </c>
      <c r="I41"/>
      <c r="J41" s="755"/>
      <c r="K41" s="755"/>
    </row>
    <row r="42" spans="1:11" outlineLevel="1" x14ac:dyDescent="0.35">
      <c r="A42" s="788" t="s">
        <v>582</v>
      </c>
      <c r="B42" s="773"/>
      <c r="C42" s="774"/>
      <c r="D42" s="774"/>
      <c r="E42" s="774">
        <v>9000</v>
      </c>
      <c r="F42" s="786"/>
      <c r="G42" s="785"/>
      <c r="H42" s="833"/>
      <c r="I42"/>
      <c r="J42" s="755"/>
      <c r="K42" s="755"/>
    </row>
    <row r="43" spans="1:11" outlineLevel="1" x14ac:dyDescent="0.35">
      <c r="A43" s="788"/>
      <c r="B43" s="773"/>
      <c r="C43" s="774"/>
      <c r="D43" s="774"/>
      <c r="E43" s="774"/>
      <c r="F43" s="786"/>
      <c r="G43" s="785"/>
      <c r="H43" s="833"/>
      <c r="I43"/>
      <c r="J43" s="755"/>
      <c r="K43" s="755"/>
    </row>
    <row r="44" spans="1:11" outlineLevel="1" x14ac:dyDescent="0.35">
      <c r="A44" s="788"/>
      <c r="B44" s="773"/>
      <c r="C44" s="774"/>
      <c r="D44" s="774"/>
      <c r="E44" s="774"/>
      <c r="F44" s="786"/>
      <c r="G44" s="785"/>
      <c r="H44" s="833"/>
      <c r="I44"/>
      <c r="J44" s="755"/>
      <c r="K44" s="755"/>
    </row>
    <row r="45" spans="1:11" ht="29" x14ac:dyDescent="0.35">
      <c r="A45" s="775" t="s">
        <v>583</v>
      </c>
      <c r="B45" s="773"/>
      <c r="C45" s="774"/>
      <c r="D45" s="774"/>
      <c r="E45" s="774">
        <f>SUM(E46:E49)</f>
        <v>9120</v>
      </c>
      <c r="F45" s="786">
        <f>SUM(F46:F49)</f>
        <v>4560</v>
      </c>
      <c r="G45" s="785">
        <f>SUM(G46:G49)</f>
        <v>4560</v>
      </c>
      <c r="H45" s="833"/>
      <c r="I45"/>
      <c r="J45" s="755">
        <f>SUM(J46:J49)</f>
        <v>0</v>
      </c>
      <c r="K45" s="755">
        <f>SUM(K46:K49)</f>
        <v>4560</v>
      </c>
    </row>
    <row r="46" spans="1:11" ht="30" customHeight="1" x14ac:dyDescent="0.35">
      <c r="A46" s="788" t="s">
        <v>584</v>
      </c>
      <c r="B46" s="789" t="s">
        <v>585</v>
      </c>
      <c r="C46" s="774"/>
      <c r="D46" s="790">
        <f>ROUND(8*8*10+700/12,-1)</f>
        <v>700</v>
      </c>
      <c r="E46" s="774">
        <f>D46*12</f>
        <v>8400</v>
      </c>
      <c r="F46" s="782">
        <f>Sisendandmed!$C$3*Kulud!E46</f>
        <v>4200</v>
      </c>
      <c r="G46" s="782">
        <f>E46-F46</f>
        <v>4200</v>
      </c>
      <c r="H46" s="833">
        <f>G46/$G$64</f>
        <v>2.3568483744187713E-2</v>
      </c>
      <c r="I46"/>
      <c r="J46" s="755"/>
      <c r="K46" s="761">
        <f>F46</f>
        <v>4200</v>
      </c>
    </row>
    <row r="47" spans="1:11" x14ac:dyDescent="0.35">
      <c r="A47" s="777" t="s">
        <v>586</v>
      </c>
      <c r="B47" s="773"/>
      <c r="C47" s="774"/>
      <c r="D47" s="755">
        <v>60</v>
      </c>
      <c r="E47" s="774">
        <f>D47*12</f>
        <v>720</v>
      </c>
      <c r="F47" s="782">
        <f>Sisendandmed!$C$3*Kulud!E47</f>
        <v>360</v>
      </c>
      <c r="G47" s="781">
        <f>E47-F47</f>
        <v>360</v>
      </c>
      <c r="H47" s="833">
        <f>G47/$G$64</f>
        <v>2.020155749501804E-3</v>
      </c>
      <c r="I47"/>
      <c r="J47" s="755"/>
      <c r="K47" s="761">
        <f>F47</f>
        <v>360</v>
      </c>
    </row>
    <row r="48" spans="1:11" outlineLevel="1" x14ac:dyDescent="0.35">
      <c r="A48" s="788"/>
      <c r="B48" s="773"/>
      <c r="C48" s="774"/>
      <c r="D48" s="774"/>
      <c r="E48" s="774"/>
      <c r="F48" s="786"/>
      <c r="G48" s="785"/>
      <c r="H48" s="833"/>
      <c r="I48"/>
      <c r="J48" s="755"/>
      <c r="K48" s="755"/>
    </row>
    <row r="49" spans="1:11" outlineLevel="1" x14ac:dyDescent="0.35">
      <c r="A49" s="788"/>
      <c r="B49" s="773"/>
      <c r="C49" s="774"/>
      <c r="D49" s="774"/>
      <c r="E49" s="774"/>
      <c r="F49" s="786"/>
      <c r="G49" s="785"/>
      <c r="H49" s="833"/>
      <c r="I49"/>
      <c r="J49" s="755"/>
      <c r="K49" s="755"/>
    </row>
    <row r="50" spans="1:11" outlineLevel="1" x14ac:dyDescent="0.35">
      <c r="A50" s="775" t="s">
        <v>587</v>
      </c>
      <c r="B50" s="773"/>
      <c r="C50" s="774"/>
      <c r="D50" s="774"/>
      <c r="E50" s="774">
        <f>SUM(E51:E55)</f>
        <v>19460</v>
      </c>
      <c r="F50" s="786">
        <f>SUM(F51:F55)</f>
        <v>9730</v>
      </c>
      <c r="G50" s="785">
        <f>SUM(G51:G55)</f>
        <v>9730</v>
      </c>
      <c r="H50" s="833">
        <f>G50/$G$64</f>
        <v>5.460032067403487E-2</v>
      </c>
      <c r="I50"/>
      <c r="J50" s="774">
        <f>SUM(J51:J55)</f>
        <v>9652.7863882494075</v>
      </c>
      <c r="K50" s="774">
        <f>SUM(K51:K55)</f>
        <v>77.213611750591781</v>
      </c>
    </row>
    <row r="51" spans="1:11" ht="22" outlineLevel="1" x14ac:dyDescent="0.35">
      <c r="A51" s="788" t="s">
        <v>588</v>
      </c>
      <c r="B51" s="789" t="s">
        <v>589</v>
      </c>
      <c r="C51" s="774"/>
      <c r="D51" s="774">
        <f>E51/12</f>
        <v>46.666666666666664</v>
      </c>
      <c r="E51" s="790">
        <f>8*10*7</f>
        <v>560</v>
      </c>
      <c r="F51" s="782">
        <f>Sisendandmed!$C$3*Kulud!E51</f>
        <v>280</v>
      </c>
      <c r="G51" s="782">
        <f>E51-F51</f>
        <v>280</v>
      </c>
      <c r="H51" s="833">
        <f>G51/$G$64</f>
        <v>1.5712322496125143E-3</v>
      </c>
      <c r="I51"/>
      <c r="J51" s="793">
        <f>F51*(Sisendandmed!$C$30/(Sisendandmed!$C$30+Sisendandmed!$C$31))</f>
        <v>267.50299925423951</v>
      </c>
      <c r="K51" s="793">
        <f>F51-J51</f>
        <v>12.497000745760488</v>
      </c>
    </row>
    <row r="52" spans="1:11" ht="22" x14ac:dyDescent="0.35">
      <c r="A52" s="788" t="s">
        <v>590</v>
      </c>
      <c r="B52" s="789" t="s">
        <v>591</v>
      </c>
      <c r="C52" s="774">
        <v>600</v>
      </c>
      <c r="D52" s="774">
        <f>E52/12</f>
        <v>150</v>
      </c>
      <c r="E52" s="774">
        <f>600*3</f>
        <v>1800</v>
      </c>
      <c r="F52" s="782">
        <f>Sisendandmed!$C$3*Kulud!E52</f>
        <v>900</v>
      </c>
      <c r="G52" s="782">
        <f>E52-F52</f>
        <v>900</v>
      </c>
      <c r="H52" s="833">
        <f>G52/$G$64</f>
        <v>5.0503893737545106E-3</v>
      </c>
      <c r="I52"/>
      <c r="J52" s="766">
        <f>F52*(Sisendandmed!$C$30/(Sisendandmed!$C$30+Sisendandmed!$C$31))</f>
        <v>859.83106903148405</v>
      </c>
      <c r="K52" s="766">
        <f>F52-J52</f>
        <v>40.168930968515951</v>
      </c>
    </row>
    <row r="53" spans="1:11" x14ac:dyDescent="0.35">
      <c r="A53" s="788" t="s">
        <v>592</v>
      </c>
      <c r="B53" s="773"/>
      <c r="C53" s="774"/>
      <c r="D53" s="774">
        <f>E53/12</f>
        <v>91.666666666666671</v>
      </c>
      <c r="E53" s="774">
        <v>1100</v>
      </c>
      <c r="F53" s="782">
        <f>Sisendandmed!$C$3*Kulud!E53</f>
        <v>550</v>
      </c>
      <c r="G53" s="782">
        <f>E53-F53</f>
        <v>550</v>
      </c>
      <c r="H53" s="833">
        <f>G53/$G$64</f>
        <v>3.0863490617388674E-3</v>
      </c>
      <c r="I53"/>
      <c r="J53" s="766">
        <f>F53*(Sisendandmed!$C$30/(Sisendandmed!$C$30+Sisendandmed!$C$31))</f>
        <v>525.45231996368466</v>
      </c>
      <c r="K53" s="766">
        <f>F53-J53</f>
        <v>24.547680036315342</v>
      </c>
    </row>
    <row r="54" spans="1:11" x14ac:dyDescent="0.35">
      <c r="A54" s="788" t="s">
        <v>593</v>
      </c>
      <c r="B54" s="773"/>
      <c r="C54" s="774"/>
      <c r="D54" s="774">
        <f>E54/12</f>
        <v>1333.3333333333333</v>
      </c>
      <c r="E54" s="790">
        <f>8000*2</f>
        <v>16000</v>
      </c>
      <c r="F54" s="782">
        <f>Sisendandmed!$C$3*Kulud!E54</f>
        <v>8000</v>
      </c>
      <c r="G54" s="782">
        <f>E54-F54</f>
        <v>8000</v>
      </c>
      <c r="H54" s="833">
        <f>G54/$G$64</f>
        <v>4.4892349988928978E-2</v>
      </c>
      <c r="I54"/>
      <c r="J54" s="761">
        <f>F54</f>
        <v>8000</v>
      </c>
      <c r="K54" s="766">
        <f>F54-J54</f>
        <v>0</v>
      </c>
    </row>
    <row r="55" spans="1:11" x14ac:dyDescent="0.35">
      <c r="A55" s="788"/>
      <c r="B55" s="773"/>
      <c r="C55" s="774"/>
      <c r="D55" s="774"/>
      <c r="E55" s="774"/>
      <c r="F55" s="782"/>
      <c r="G55" s="782"/>
      <c r="H55" s="833"/>
      <c r="I55"/>
      <c r="J55" s="761"/>
      <c r="K55" s="766"/>
    </row>
    <row r="56" spans="1:11" x14ac:dyDescent="0.35">
      <c r="A56" s="775" t="s">
        <v>594</v>
      </c>
      <c r="B56" s="773"/>
      <c r="C56" s="774"/>
      <c r="D56" s="774">
        <v>1000</v>
      </c>
      <c r="E56" s="774">
        <f>D56*12</f>
        <v>12000</v>
      </c>
      <c r="F56" s="782">
        <f>Sisendandmed!$C$3*Kulud!E56</f>
        <v>6000</v>
      </c>
      <c r="G56" s="781">
        <f>E56-F56</f>
        <v>6000</v>
      </c>
      <c r="H56" s="833">
        <f t="shared" ref="H56:H61" si="3">G56/$G$64</f>
        <v>3.3669262491696737E-2</v>
      </c>
      <c r="I56"/>
      <c r="J56" s="793">
        <f>F56*(Sisendandmed!$C$30/(Sisendandmed!$C$30+Sisendandmed!$C$31))</f>
        <v>5732.2071268765603</v>
      </c>
      <c r="K56" s="793">
        <f>F56-J56</f>
        <v>267.79287312343968</v>
      </c>
    </row>
    <row r="57" spans="1:11" ht="29" x14ac:dyDescent="0.35">
      <c r="A57" s="775" t="s">
        <v>595</v>
      </c>
      <c r="B57" s="773" t="s">
        <v>596</v>
      </c>
      <c r="C57" s="835">
        <v>1E-3</v>
      </c>
      <c r="D57" s="774">
        <f>E57/12</f>
        <v>705.31041647333348</v>
      </c>
      <c r="E57" s="774">
        <f>C57*Investeeringud!E22</f>
        <v>8463.7249976800013</v>
      </c>
      <c r="F57" s="786"/>
      <c r="G57" s="785">
        <f>E57</f>
        <v>8463.7249976800013</v>
      </c>
      <c r="H57" s="833">
        <f t="shared" si="3"/>
        <v>4.7494563100737214E-2</v>
      </c>
      <c r="I57"/>
      <c r="J57" s="755"/>
      <c r="K57" s="755"/>
    </row>
    <row r="58" spans="1:11" ht="30.75" customHeight="1" x14ac:dyDescent="0.35">
      <c r="A58" s="775" t="s">
        <v>597</v>
      </c>
      <c r="B58" s="773"/>
      <c r="C58" s="774"/>
      <c r="D58" s="774"/>
      <c r="E58" s="774">
        <f>SUM(E59:E63)</f>
        <v>6900</v>
      </c>
      <c r="F58" s="776">
        <f>SUM(F59:F63)</f>
        <v>1800</v>
      </c>
      <c r="G58" s="785">
        <f>SUM(G59:G63)</f>
        <v>5100</v>
      </c>
      <c r="H58" s="833">
        <f t="shared" si="3"/>
        <v>2.8618873117942225E-2</v>
      </c>
      <c r="I58"/>
      <c r="J58" s="774">
        <f>SUM(J59:J63)</f>
        <v>0</v>
      </c>
      <c r="K58" s="774">
        <f>SUM(K59:K63)</f>
        <v>1800</v>
      </c>
    </row>
    <row r="59" spans="1:11" ht="31.5" customHeight="1" x14ac:dyDescent="0.35">
      <c r="A59" s="788" t="s">
        <v>598</v>
      </c>
      <c r="B59" s="773"/>
      <c r="C59" s="774"/>
      <c r="D59" s="774">
        <v>60</v>
      </c>
      <c r="E59" s="774">
        <f>D59*12</f>
        <v>720</v>
      </c>
      <c r="F59" s="786"/>
      <c r="G59" s="785">
        <f>E59</f>
        <v>720</v>
      </c>
      <c r="H59" s="833">
        <f t="shared" si="3"/>
        <v>4.040311499003608E-3</v>
      </c>
      <c r="I59"/>
      <c r="J59" s="755"/>
      <c r="K59" s="755"/>
    </row>
    <row r="60" spans="1:11" x14ac:dyDescent="0.35">
      <c r="A60" s="788" t="s">
        <v>599</v>
      </c>
      <c r="B60" s="773"/>
      <c r="C60" s="774"/>
      <c r="D60" s="774">
        <v>300</v>
      </c>
      <c r="E60" s="774">
        <f>D60*12</f>
        <v>3600</v>
      </c>
      <c r="F60" s="782">
        <f>Sisendandmed!$C$3*Kulud!E60</f>
        <v>1800</v>
      </c>
      <c r="G60" s="781">
        <f>E60-F60</f>
        <v>1800</v>
      </c>
      <c r="H60" s="833">
        <f t="shared" si="3"/>
        <v>1.0100778747509021E-2</v>
      </c>
      <c r="I60"/>
      <c r="J60" s="761"/>
      <c r="K60" s="761">
        <f>F60</f>
        <v>1800</v>
      </c>
    </row>
    <row r="61" spans="1:11" x14ac:dyDescent="0.35">
      <c r="A61" s="788" t="s">
        <v>597</v>
      </c>
      <c r="B61" s="773"/>
      <c r="C61" s="774"/>
      <c r="D61" s="774">
        <v>215</v>
      </c>
      <c r="E61" s="774">
        <f>D61*12</f>
        <v>2580</v>
      </c>
      <c r="F61" s="782"/>
      <c r="G61" s="781">
        <f>E61</f>
        <v>2580</v>
      </c>
      <c r="H61" s="833">
        <f t="shared" si="3"/>
        <v>1.4477782871429597E-2</v>
      </c>
      <c r="I61"/>
      <c r="J61" s="761"/>
      <c r="K61" s="761"/>
    </row>
    <row r="62" spans="1:11" x14ac:dyDescent="0.35">
      <c r="A62" s="788"/>
      <c r="B62" s="773"/>
      <c r="C62" s="774"/>
      <c r="D62" s="774"/>
      <c r="E62" s="774"/>
      <c r="F62" s="781"/>
      <c r="G62" s="781"/>
      <c r="H62" s="836">
        <f>G62/$G$73</f>
        <v>0</v>
      </c>
      <c r="I62"/>
      <c r="J62" s="761"/>
      <c r="K62" s="761"/>
    </row>
    <row r="63" spans="1:11" x14ac:dyDescent="0.35">
      <c r="A63" s="788"/>
      <c r="B63" s="773"/>
      <c r="C63" s="774"/>
      <c r="D63" s="774"/>
      <c r="E63" s="774"/>
      <c r="F63" s="781"/>
      <c r="G63" s="781"/>
      <c r="H63" s="836"/>
      <c r="I63"/>
      <c r="J63" s="761"/>
      <c r="K63" s="761"/>
    </row>
    <row r="64" spans="1:11" x14ac:dyDescent="0.35">
      <c r="A64" s="794" t="s">
        <v>600</v>
      </c>
      <c r="B64" s="773"/>
      <c r="C64" s="774"/>
      <c r="D64" s="795">
        <f>E64/12</f>
        <v>22060.609469473337</v>
      </c>
      <c r="E64" s="795">
        <f>E4+E25+E29+E33+E58+E38+E45+E50+E56+E57</f>
        <v>264727.31363368005</v>
      </c>
      <c r="F64" s="795">
        <f>F4+F25+F29+F33+F58+F38+F45+F50+F56+F57</f>
        <v>77523.23204800002</v>
      </c>
      <c r="G64" s="795">
        <f>G4+G25+G29+G33+G58+G38+G45+G50+G56+G57</f>
        <v>178204.08158567999</v>
      </c>
      <c r="H64" s="833"/>
      <c r="I64"/>
      <c r="J64" s="795">
        <f>J4+J25+J29+J33+J58+J38+J45+J50+J56+J57</f>
        <v>69223.290155125986</v>
      </c>
      <c r="K64" s="795">
        <f>K4+K25+K29+K33+K58+K38+K45+K50+K56+K57</f>
        <v>8299.9418928740306</v>
      </c>
    </row>
    <row r="65" spans="1:11" hidden="1" outlineLevel="1" x14ac:dyDescent="0.35">
      <c r="A65" s="794"/>
      <c r="B65" s="773"/>
      <c r="C65" s="774"/>
      <c r="D65" s="774"/>
      <c r="E65" s="795"/>
      <c r="F65" s="781"/>
      <c r="G65" s="781"/>
      <c r="H65" s="833"/>
      <c r="I65"/>
      <c r="J65" s="761"/>
      <c r="K65" s="761"/>
    </row>
    <row r="66" spans="1:11" hidden="1" outlineLevel="1" x14ac:dyDescent="0.35">
      <c r="A66" s="772" t="s">
        <v>601</v>
      </c>
      <c r="B66" s="773"/>
      <c r="C66" s="774"/>
      <c r="D66"/>
      <c r="E66"/>
      <c r="F66" s="755"/>
      <c r="G66" s="785"/>
      <c r="H66" s="833"/>
      <c r="I66"/>
      <c r="J66" s="774">
        <f>J68</f>
        <v>0</v>
      </c>
      <c r="K66" s="774">
        <f>K68</f>
        <v>0</v>
      </c>
    </row>
    <row r="67" spans="1:11" collapsed="1" x14ac:dyDescent="0.35">
      <c r="A67" s="788" t="str">
        <f>Eelarve!A30</f>
        <v>Ehitus</v>
      </c>
      <c r="B67" s="773"/>
      <c r="C67" s="837"/>
      <c r="D67" s="774">
        <f>E67/12</f>
        <v>51167.689215897437</v>
      </c>
      <c r="E67" s="774">
        <f>Investeeringud!E4*Investeeringud!C30</f>
        <v>614012.27059076924</v>
      </c>
      <c r="F67" s="755"/>
      <c r="G67" s="785">
        <f>E67</f>
        <v>614012.27059076924</v>
      </c>
      <c r="H67" s="833"/>
      <c r="I67"/>
      <c r="J67" s="774"/>
      <c r="K67" s="774"/>
    </row>
    <row r="68" spans="1:11" x14ac:dyDescent="0.35">
      <c r="A68" s="788" t="str">
        <f>Eelarve!A31</f>
        <v>Sisustus</v>
      </c>
      <c r="B68" s="773"/>
      <c r="C68" s="837"/>
      <c r="D68" s="774">
        <f>E68/12</f>
        <v>626.01282051282055</v>
      </c>
      <c r="E68" s="774">
        <f>[1]Инвестиции!E7*[1]Инвестиции!C28</f>
        <v>7512.1538461538466</v>
      </c>
      <c r="F68" s="755"/>
      <c r="G68" s="785">
        <f>E68</f>
        <v>7512.1538461538466</v>
      </c>
      <c r="H68" s="833"/>
      <c r="I68"/>
      <c r="J68" s="755"/>
      <c r="K68" s="755"/>
    </row>
    <row r="69" spans="1:11" ht="29" x14ac:dyDescent="0.35">
      <c r="A69" s="788" t="str">
        <f>Eelarve!A32</f>
        <v>Elektriliitumine ja liitumine keskküttega</v>
      </c>
      <c r="B69" s="773"/>
      <c r="C69" s="837"/>
      <c r="D69" s="774">
        <f>E69/12</f>
        <v>1141.9387820512823</v>
      </c>
      <c r="E69" s="774">
        <f>[1]Инвестиции!E12*[1]Инвестиции!C29</f>
        <v>13703.265384615386</v>
      </c>
      <c r="F69" s="755"/>
      <c r="G69" s="785">
        <f>E69</f>
        <v>13703.265384615386</v>
      </c>
      <c r="H69" s="833"/>
      <c r="I69"/>
      <c r="J69" s="755"/>
      <c r="K69" s="755"/>
    </row>
    <row r="70" spans="1:11" x14ac:dyDescent="0.35">
      <c r="A70" s="788" t="str">
        <f>Eelarve!A33</f>
        <v>Tootmisseadmed</v>
      </c>
      <c r="B70" s="773"/>
      <c r="C70" s="837"/>
      <c r="D70" s="774">
        <f>E70/12</f>
        <v>6025.6410256410263</v>
      </c>
      <c r="E70" s="774">
        <f>[1]Инвестиции!E17*[1]Инвестиции!C30</f>
        <v>72307.692307692312</v>
      </c>
      <c r="F70" s="755"/>
      <c r="G70" s="785">
        <f>E70</f>
        <v>72307.692307692312</v>
      </c>
      <c r="H70" s="833"/>
      <c r="I70"/>
      <c r="J70" s="755"/>
      <c r="K70" s="755"/>
    </row>
    <row r="71" spans="1:11" x14ac:dyDescent="0.35">
      <c r="A71" s="794" t="s">
        <v>602</v>
      </c>
      <c r="B71" s="755"/>
      <c r="C71" s="761"/>
      <c r="D71" s="795">
        <f>SUM(D67:D70)</f>
        <v>58961.281844102567</v>
      </c>
      <c r="E71" s="795">
        <f>SUM(E67:E70)</f>
        <v>707535.38212923077</v>
      </c>
      <c r="F71" s="795">
        <f>SUM(F67:F70)</f>
        <v>0</v>
      </c>
      <c r="G71" s="795">
        <f>SUM(G67:G70)</f>
        <v>707535.38212923077</v>
      </c>
      <c r="H71"/>
      <c r="I71"/>
      <c r="J71" s="755"/>
      <c r="K71" s="755"/>
    </row>
    <row r="72" spans="1:11" x14ac:dyDescent="0.35">
      <c r="A72" s="794"/>
      <c r="B72" s="755"/>
      <c r="C72" s="761"/>
      <c r="D72" s="774"/>
      <c r="E72" s="774"/>
      <c r="F72" s="755"/>
      <c r="G72" s="755"/>
      <c r="H72"/>
      <c r="I72"/>
      <c r="J72" s="755"/>
      <c r="K72" s="755"/>
    </row>
    <row r="73" spans="1:11" x14ac:dyDescent="0.35">
      <c r="A73" s="769" t="s">
        <v>544</v>
      </c>
      <c r="B73" s="763"/>
      <c r="C73" s="763"/>
      <c r="D73" s="764">
        <f>E73/12</f>
        <v>81021.891313575907</v>
      </c>
      <c r="E73" s="764">
        <f>E64+E71</f>
        <v>972262.69576291088</v>
      </c>
      <c r="F73" s="764">
        <f>F64+F71</f>
        <v>77523.23204800002</v>
      </c>
      <c r="G73" s="764">
        <f>G64+G71</f>
        <v>885739.46371491079</v>
      </c>
      <c r="H73"/>
      <c r="I73"/>
      <c r="J73" s="761">
        <f>J4+J25+J29+J33+J58+J66+J38+J50+J56+J57</f>
        <v>69223.290155125986</v>
      </c>
      <c r="K73" s="761">
        <f>K4+K25+K29+K33+K58+K66+K38+K50+K56+K57</f>
        <v>3739.9418928740315</v>
      </c>
    </row>
  </sheetData>
  <conditionalFormatting sqref="H2:H73">
    <cfRule type="cellIs" dxfId="1" priority="1" operator="equal">
      <formula>0</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588"/>
  <sheetViews>
    <sheetView showGridLines="0" zoomScaleNormal="100" workbookViewId="0">
      <pane xSplit="3" ySplit="4" topLeftCell="D64" activePane="bottomRight" state="frozen"/>
      <selection activeCell="BA126" sqref="BA126"/>
      <selection pane="topRight" activeCell="BA126" sqref="BA126"/>
      <selection pane="bottomLeft" activeCell="BA126" sqref="BA126"/>
      <selection pane="bottomRight" activeCell="H104" sqref="H104"/>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0" customFormat="1" ht="22.5" customHeight="1" x14ac:dyDescent="0.35">
      <c r="A1" s="198" t="s">
        <v>84</v>
      </c>
      <c r="B1" s="199"/>
    </row>
    <row r="2" spans="1:20" s="200" customFormat="1" ht="7.5" customHeight="1" x14ac:dyDescent="0.35">
      <c r="A2" s="201"/>
      <c r="B2" s="202"/>
      <c r="C2" s="203"/>
      <c r="D2" s="204"/>
      <c r="E2" s="204"/>
      <c r="F2" s="204"/>
      <c r="G2" s="204"/>
      <c r="H2" s="204"/>
      <c r="I2" s="204"/>
      <c r="J2" s="204"/>
      <c r="K2" s="204"/>
      <c r="L2" s="204"/>
      <c r="M2" s="204"/>
      <c r="N2" s="204"/>
      <c r="O2" s="204"/>
      <c r="P2" s="204"/>
      <c r="Q2" s="204"/>
      <c r="R2" s="204"/>
      <c r="S2" s="203"/>
      <c r="T2" s="203"/>
    </row>
    <row r="3" spans="1:20" s="200" customFormat="1" ht="18" customHeight="1" x14ac:dyDescent="0.35">
      <c r="A3" s="205"/>
      <c r="B3" s="206"/>
      <c r="C3" s="207"/>
      <c r="D3" s="208">
        <f>'2. Tulud-kulud projektiga'!D3</f>
        <v>2023</v>
      </c>
      <c r="E3" s="208">
        <f>D3+1</f>
        <v>2024</v>
      </c>
      <c r="F3" s="208">
        <f t="shared" ref="F3:P3" si="0">E3+1</f>
        <v>2025</v>
      </c>
      <c r="G3" s="208">
        <f t="shared" si="0"/>
        <v>2026</v>
      </c>
      <c r="H3" s="208">
        <f t="shared" si="0"/>
        <v>2027</v>
      </c>
      <c r="I3" s="208">
        <f t="shared" si="0"/>
        <v>2028</v>
      </c>
      <c r="J3" s="208">
        <f t="shared" si="0"/>
        <v>2029</v>
      </c>
      <c r="K3" s="208">
        <f t="shared" si="0"/>
        <v>2030</v>
      </c>
      <c r="L3" s="208">
        <f t="shared" si="0"/>
        <v>2031</v>
      </c>
      <c r="M3" s="208">
        <f t="shared" si="0"/>
        <v>2032</v>
      </c>
      <c r="N3" s="208">
        <f t="shared" si="0"/>
        <v>2033</v>
      </c>
      <c r="O3" s="208">
        <f t="shared" si="0"/>
        <v>2034</v>
      </c>
      <c r="P3" s="208">
        <f t="shared" si="0"/>
        <v>2035</v>
      </c>
      <c r="Q3" s="208">
        <f t="shared" ref="Q3" si="1">P3+1</f>
        <v>2036</v>
      </c>
      <c r="R3" s="208">
        <f t="shared" ref="R3" si="2">Q3+1</f>
        <v>2037</v>
      </c>
      <c r="S3" s="203"/>
      <c r="T3" s="203"/>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45</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970" t="str">
        <f>'2. Tulud-kulud projektiga'!A7:A9</f>
        <v>Üüritulu tootmispindadelt</v>
      </c>
      <c r="B7" s="209" t="str">
        <f>'2. Tulud-kulud projektiga'!B7</f>
        <v>Ühik 1</v>
      </c>
      <c r="C7" s="210" t="str">
        <f>'2. Tulud-kulud projektiga'!C7</f>
        <v>m2</v>
      </c>
      <c r="D7" s="171"/>
      <c r="E7" s="171"/>
      <c r="F7" s="171"/>
      <c r="G7" s="171"/>
      <c r="H7" s="171"/>
      <c r="I7" s="171"/>
      <c r="J7" s="171"/>
      <c r="K7" s="171"/>
      <c r="L7" s="171"/>
      <c r="M7" s="171"/>
      <c r="N7" s="171"/>
      <c r="O7" s="171"/>
      <c r="P7" s="171"/>
      <c r="Q7" s="171"/>
      <c r="R7" s="171"/>
      <c r="S7" s="163"/>
      <c r="T7" s="163"/>
    </row>
    <row r="8" spans="1:20" ht="15.75" customHeight="1" x14ac:dyDescent="0.35">
      <c r="A8" s="970"/>
      <c r="B8" s="209" t="s">
        <v>0</v>
      </c>
      <c r="C8" s="210" t="s">
        <v>3</v>
      </c>
      <c r="D8" s="171"/>
      <c r="E8" s="171"/>
      <c r="F8" s="171"/>
      <c r="G8" s="171"/>
      <c r="H8" s="171"/>
      <c r="I8" s="171"/>
      <c r="J8" s="171"/>
      <c r="K8" s="171"/>
      <c r="L8" s="171"/>
      <c r="M8" s="171"/>
      <c r="N8" s="171"/>
      <c r="O8" s="171"/>
      <c r="P8" s="171"/>
      <c r="Q8" s="171"/>
      <c r="R8" s="171"/>
      <c r="S8" s="163"/>
      <c r="T8" s="163"/>
    </row>
    <row r="9" spans="1:20" ht="15.75" customHeight="1" x14ac:dyDescent="0.35">
      <c r="A9" s="970"/>
      <c r="B9" s="212" t="s">
        <v>1</v>
      </c>
      <c r="C9" s="213" t="s">
        <v>3</v>
      </c>
      <c r="D9" s="211">
        <f t="shared" ref="D9:R9" si="3">D7*D8</f>
        <v>0</v>
      </c>
      <c r="E9" s="211">
        <f t="shared" si="3"/>
        <v>0</v>
      </c>
      <c r="F9" s="211">
        <f t="shared" si="3"/>
        <v>0</v>
      </c>
      <c r="G9" s="211">
        <f t="shared" si="3"/>
        <v>0</v>
      </c>
      <c r="H9" s="211">
        <f t="shared" si="3"/>
        <v>0</v>
      </c>
      <c r="I9" s="211">
        <f t="shared" si="3"/>
        <v>0</v>
      </c>
      <c r="J9" s="211">
        <f t="shared" si="3"/>
        <v>0</v>
      </c>
      <c r="K9" s="211">
        <f t="shared" si="3"/>
        <v>0</v>
      </c>
      <c r="L9" s="211">
        <f t="shared" si="3"/>
        <v>0</v>
      </c>
      <c r="M9" s="211">
        <f t="shared" si="3"/>
        <v>0</v>
      </c>
      <c r="N9" s="211">
        <f t="shared" si="3"/>
        <v>0</v>
      </c>
      <c r="O9" s="211">
        <f t="shared" si="3"/>
        <v>0</v>
      </c>
      <c r="P9" s="211">
        <f t="shared" si="3"/>
        <v>0</v>
      </c>
      <c r="Q9" s="211">
        <f t="shared" ref="Q9" si="4">Q7*Q8</f>
        <v>0</v>
      </c>
      <c r="R9" s="211">
        <f t="shared" si="3"/>
        <v>0</v>
      </c>
      <c r="S9" s="163"/>
      <c r="T9" s="163"/>
    </row>
    <row r="10" spans="1:20" ht="5.25" customHeight="1" x14ac:dyDescent="0.35">
      <c r="A10" s="214"/>
      <c r="B10" s="173"/>
      <c r="C10" s="174"/>
      <c r="D10" s="174"/>
      <c r="E10" s="174"/>
      <c r="F10" s="174"/>
      <c r="G10" s="174"/>
      <c r="H10" s="174"/>
      <c r="I10" s="174"/>
      <c r="J10" s="174"/>
      <c r="K10" s="174"/>
      <c r="L10" s="174"/>
      <c r="M10" s="174"/>
      <c r="N10" s="174"/>
      <c r="O10" s="174"/>
      <c r="P10" s="174"/>
      <c r="Q10" s="174"/>
      <c r="R10" s="175"/>
      <c r="S10" s="163"/>
      <c r="T10" s="163"/>
    </row>
    <row r="11" spans="1:20" x14ac:dyDescent="0.35">
      <c r="A11" s="970" t="str">
        <f>'2. Tulud-kulud projektiga'!A11:A13</f>
        <v>Üüritulu büroopindadelt</v>
      </c>
      <c r="B11" s="209" t="str">
        <f>'2. Tulud-kulud projektiga'!B11</f>
        <v>Ühik 2</v>
      </c>
      <c r="C11" s="210" t="str">
        <f>'2. Tulud-kulud projektiga'!C11</f>
        <v>m2</v>
      </c>
      <c r="D11" s="171"/>
      <c r="E11" s="171"/>
      <c r="F11" s="171"/>
      <c r="G11" s="171"/>
      <c r="H11" s="171"/>
      <c r="I11" s="171"/>
      <c r="J11" s="171"/>
      <c r="K11" s="171"/>
      <c r="L11" s="171"/>
      <c r="M11" s="171"/>
      <c r="N11" s="171"/>
      <c r="O11" s="171"/>
      <c r="P11" s="171"/>
      <c r="Q11" s="171"/>
      <c r="R11" s="171"/>
      <c r="S11" s="163"/>
      <c r="T11" s="163"/>
    </row>
    <row r="12" spans="1:20" x14ac:dyDescent="0.35">
      <c r="A12" s="970"/>
      <c r="B12" s="209" t="s">
        <v>0</v>
      </c>
      <c r="C12" s="210" t="s">
        <v>3</v>
      </c>
      <c r="D12" s="171"/>
      <c r="E12" s="171"/>
      <c r="F12" s="171"/>
      <c r="G12" s="171"/>
      <c r="H12" s="171"/>
      <c r="I12" s="171"/>
      <c r="J12" s="171"/>
      <c r="K12" s="171"/>
      <c r="L12" s="171"/>
      <c r="M12" s="171"/>
      <c r="N12" s="171"/>
      <c r="O12" s="171"/>
      <c r="P12" s="171"/>
      <c r="Q12" s="171"/>
      <c r="R12" s="171"/>
      <c r="S12" s="163"/>
      <c r="T12" s="163"/>
    </row>
    <row r="13" spans="1:20" x14ac:dyDescent="0.35">
      <c r="A13" s="970"/>
      <c r="B13" s="212" t="s">
        <v>1</v>
      </c>
      <c r="C13" s="213" t="s">
        <v>3</v>
      </c>
      <c r="D13" s="211">
        <f t="shared" ref="D13:R13" si="5">D11*D12</f>
        <v>0</v>
      </c>
      <c r="E13" s="211">
        <f t="shared" si="5"/>
        <v>0</v>
      </c>
      <c r="F13" s="211">
        <f t="shared" si="5"/>
        <v>0</v>
      </c>
      <c r="G13" s="211">
        <f t="shared" si="5"/>
        <v>0</v>
      </c>
      <c r="H13" s="211">
        <f t="shared" si="5"/>
        <v>0</v>
      </c>
      <c r="I13" s="211">
        <f t="shared" si="5"/>
        <v>0</v>
      </c>
      <c r="J13" s="211">
        <f t="shared" si="5"/>
        <v>0</v>
      </c>
      <c r="K13" s="211">
        <f t="shared" si="5"/>
        <v>0</v>
      </c>
      <c r="L13" s="211">
        <f t="shared" si="5"/>
        <v>0</v>
      </c>
      <c r="M13" s="211">
        <f t="shared" si="5"/>
        <v>0</v>
      </c>
      <c r="N13" s="211">
        <f t="shared" si="5"/>
        <v>0</v>
      </c>
      <c r="O13" s="211">
        <f t="shared" si="5"/>
        <v>0</v>
      </c>
      <c r="P13" s="211">
        <f t="shared" si="5"/>
        <v>0</v>
      </c>
      <c r="Q13" s="211">
        <f t="shared" ref="Q13" si="6">Q11*Q12</f>
        <v>0</v>
      </c>
      <c r="R13" s="211">
        <f t="shared" si="5"/>
        <v>0</v>
      </c>
      <c r="S13" s="163"/>
      <c r="T13" s="163"/>
    </row>
    <row r="14" spans="1:20" ht="5.25" customHeight="1" x14ac:dyDescent="0.35">
      <c r="A14" s="214"/>
      <c r="B14" s="173"/>
      <c r="C14" s="174"/>
      <c r="D14" s="174"/>
      <c r="E14" s="174"/>
      <c r="F14" s="174"/>
      <c r="G14" s="174"/>
      <c r="H14" s="174"/>
      <c r="I14" s="174"/>
      <c r="J14" s="174"/>
      <c r="K14" s="174"/>
      <c r="L14" s="174"/>
      <c r="M14" s="174"/>
      <c r="N14" s="174"/>
      <c r="O14" s="174"/>
      <c r="P14" s="174"/>
      <c r="Q14" s="174"/>
      <c r="R14" s="175"/>
      <c r="S14" s="163"/>
      <c r="T14" s="163"/>
    </row>
    <row r="15" spans="1:20" x14ac:dyDescent="0.35">
      <c r="A15" s="970" t="str">
        <f>'2. Tulud-kulud projektiga'!A15:A17</f>
        <v>Toode/teenus 3</v>
      </c>
      <c r="B15" s="209" t="str">
        <f>'2. Tulud-kulud projektiga'!B15</f>
        <v>Ühik 3</v>
      </c>
      <c r="C15" s="210">
        <f>'2. Tulud-kulud projektiga'!C15</f>
        <v>0</v>
      </c>
      <c r="D15" s="171"/>
      <c r="E15" s="171"/>
      <c r="F15" s="171"/>
      <c r="G15" s="171"/>
      <c r="H15" s="171"/>
      <c r="I15" s="171"/>
      <c r="J15" s="171"/>
      <c r="K15" s="171"/>
      <c r="L15" s="171"/>
      <c r="M15" s="171"/>
      <c r="N15" s="171"/>
      <c r="O15" s="171"/>
      <c r="P15" s="171"/>
      <c r="Q15" s="171"/>
      <c r="R15" s="171"/>
      <c r="S15" s="163"/>
      <c r="T15" s="163"/>
    </row>
    <row r="16" spans="1:20" x14ac:dyDescent="0.35">
      <c r="A16" s="970"/>
      <c r="B16" s="209" t="s">
        <v>0</v>
      </c>
      <c r="C16" s="210" t="s">
        <v>3</v>
      </c>
      <c r="D16" s="171"/>
      <c r="E16" s="171"/>
      <c r="F16" s="171"/>
      <c r="G16" s="171"/>
      <c r="H16" s="171"/>
      <c r="I16" s="171"/>
      <c r="J16" s="171"/>
      <c r="K16" s="171"/>
      <c r="L16" s="171"/>
      <c r="M16" s="171"/>
      <c r="N16" s="171"/>
      <c r="O16" s="171"/>
      <c r="P16" s="171"/>
      <c r="Q16" s="171"/>
      <c r="R16" s="171"/>
      <c r="S16" s="163"/>
      <c r="T16" s="163"/>
    </row>
    <row r="17" spans="1:20" x14ac:dyDescent="0.35">
      <c r="A17" s="970"/>
      <c r="B17" s="212" t="s">
        <v>1</v>
      </c>
      <c r="C17" s="213" t="s">
        <v>3</v>
      </c>
      <c r="D17" s="211">
        <f t="shared" ref="D17:R17" si="7">D15*D16</f>
        <v>0</v>
      </c>
      <c r="E17" s="211">
        <f t="shared" si="7"/>
        <v>0</v>
      </c>
      <c r="F17" s="211">
        <f t="shared" si="7"/>
        <v>0</v>
      </c>
      <c r="G17" s="211">
        <f t="shared" si="7"/>
        <v>0</v>
      </c>
      <c r="H17" s="211">
        <f t="shared" si="7"/>
        <v>0</v>
      </c>
      <c r="I17" s="211">
        <f t="shared" si="7"/>
        <v>0</v>
      </c>
      <c r="J17" s="211">
        <f t="shared" si="7"/>
        <v>0</v>
      </c>
      <c r="K17" s="211">
        <f t="shared" si="7"/>
        <v>0</v>
      </c>
      <c r="L17" s="211">
        <f t="shared" si="7"/>
        <v>0</v>
      </c>
      <c r="M17" s="211">
        <f t="shared" si="7"/>
        <v>0</v>
      </c>
      <c r="N17" s="211">
        <f t="shared" si="7"/>
        <v>0</v>
      </c>
      <c r="O17" s="211">
        <f t="shared" si="7"/>
        <v>0</v>
      </c>
      <c r="P17" s="211">
        <f t="shared" si="7"/>
        <v>0</v>
      </c>
      <c r="Q17" s="211">
        <f t="shared" ref="Q17" si="8">Q15*Q16</f>
        <v>0</v>
      </c>
      <c r="R17" s="211">
        <f t="shared" si="7"/>
        <v>0</v>
      </c>
      <c r="S17" s="163"/>
      <c r="T17" s="163"/>
    </row>
    <row r="18" spans="1:20" ht="5.25" customHeight="1" x14ac:dyDescent="0.35">
      <c r="A18" s="214"/>
      <c r="B18" s="173"/>
      <c r="C18" s="174"/>
      <c r="D18" s="174"/>
      <c r="E18" s="174"/>
      <c r="F18" s="174"/>
      <c r="G18" s="174"/>
      <c r="H18" s="174"/>
      <c r="I18" s="174"/>
      <c r="J18" s="174"/>
      <c r="K18" s="174"/>
      <c r="L18" s="174"/>
      <c r="M18" s="174"/>
      <c r="N18" s="174"/>
      <c r="O18" s="174"/>
      <c r="P18" s="174"/>
      <c r="Q18" s="174"/>
      <c r="R18" s="175"/>
      <c r="S18" s="163"/>
      <c r="T18" s="163"/>
    </row>
    <row r="19" spans="1:20" x14ac:dyDescent="0.35">
      <c r="A19" s="970" t="str">
        <f>'2. Tulud-kulud projektiga'!A19:A21</f>
        <v>Toode/teenus 4</v>
      </c>
      <c r="B19" s="209" t="str">
        <f>'2. Tulud-kulud projektiga'!B19</f>
        <v>Ühik 4</v>
      </c>
      <c r="C19" s="210">
        <f>'2. Tulud-kulud projektiga'!C19</f>
        <v>0</v>
      </c>
      <c r="D19" s="171"/>
      <c r="E19" s="171"/>
      <c r="F19" s="171"/>
      <c r="G19" s="171"/>
      <c r="H19" s="171"/>
      <c r="I19" s="171"/>
      <c r="J19" s="171"/>
      <c r="K19" s="171"/>
      <c r="L19" s="171"/>
      <c r="M19" s="171"/>
      <c r="N19" s="171"/>
      <c r="O19" s="171"/>
      <c r="P19" s="171"/>
      <c r="Q19" s="171"/>
      <c r="R19" s="171"/>
      <c r="S19" s="163"/>
      <c r="T19" s="163"/>
    </row>
    <row r="20" spans="1:20" x14ac:dyDescent="0.35">
      <c r="A20" s="970"/>
      <c r="B20" s="209" t="s">
        <v>0</v>
      </c>
      <c r="C20" s="210" t="s">
        <v>3</v>
      </c>
      <c r="D20" s="171"/>
      <c r="E20" s="171"/>
      <c r="F20" s="171"/>
      <c r="G20" s="171"/>
      <c r="H20" s="171"/>
      <c r="I20" s="171"/>
      <c r="J20" s="171"/>
      <c r="K20" s="171"/>
      <c r="L20" s="171"/>
      <c r="M20" s="171"/>
      <c r="N20" s="171"/>
      <c r="O20" s="171"/>
      <c r="P20" s="171"/>
      <c r="Q20" s="171"/>
      <c r="R20" s="171"/>
      <c r="S20" s="163"/>
      <c r="T20" s="163"/>
    </row>
    <row r="21" spans="1:20" x14ac:dyDescent="0.35">
      <c r="A21" s="970"/>
      <c r="B21" s="212" t="s">
        <v>1</v>
      </c>
      <c r="C21" s="213" t="s">
        <v>3</v>
      </c>
      <c r="D21" s="211">
        <f t="shared" ref="D21:R21" si="9">D19*D20</f>
        <v>0</v>
      </c>
      <c r="E21" s="211">
        <f t="shared" si="9"/>
        <v>0</v>
      </c>
      <c r="F21" s="211">
        <f t="shared" si="9"/>
        <v>0</v>
      </c>
      <c r="G21" s="211">
        <f t="shared" si="9"/>
        <v>0</v>
      </c>
      <c r="H21" s="211">
        <f t="shared" si="9"/>
        <v>0</v>
      </c>
      <c r="I21" s="211">
        <f t="shared" si="9"/>
        <v>0</v>
      </c>
      <c r="J21" s="211">
        <f t="shared" si="9"/>
        <v>0</v>
      </c>
      <c r="K21" s="211">
        <f t="shared" si="9"/>
        <v>0</v>
      </c>
      <c r="L21" s="211">
        <f t="shared" si="9"/>
        <v>0</v>
      </c>
      <c r="M21" s="211">
        <f t="shared" si="9"/>
        <v>0</v>
      </c>
      <c r="N21" s="211">
        <f t="shared" si="9"/>
        <v>0</v>
      </c>
      <c r="O21" s="211">
        <f t="shared" si="9"/>
        <v>0</v>
      </c>
      <c r="P21" s="211">
        <f t="shared" si="9"/>
        <v>0</v>
      </c>
      <c r="Q21" s="211">
        <f t="shared" ref="Q21" si="10">Q19*Q20</f>
        <v>0</v>
      </c>
      <c r="R21" s="211">
        <f t="shared" si="9"/>
        <v>0</v>
      </c>
      <c r="S21" s="163"/>
      <c r="T21" s="163"/>
    </row>
    <row r="22" spans="1:20" ht="5.25" customHeight="1" x14ac:dyDescent="0.35">
      <c r="A22" s="214"/>
      <c r="B22" s="173"/>
      <c r="C22" s="174"/>
      <c r="D22" s="174"/>
      <c r="E22" s="174"/>
      <c r="F22" s="174"/>
      <c r="G22" s="174"/>
      <c r="H22" s="174"/>
      <c r="I22" s="174"/>
      <c r="J22" s="174"/>
      <c r="K22" s="174"/>
      <c r="L22" s="174"/>
      <c r="M22" s="174"/>
      <c r="N22" s="174"/>
      <c r="O22" s="174"/>
      <c r="P22" s="174"/>
      <c r="Q22" s="174"/>
      <c r="R22" s="175"/>
      <c r="S22" s="163"/>
      <c r="T22" s="163"/>
    </row>
    <row r="23" spans="1:20" x14ac:dyDescent="0.35">
      <c r="A23" s="970" t="str">
        <f>'2. Tulud-kulud projektiga'!A23:A25</f>
        <v>Toode/teenus 5</v>
      </c>
      <c r="B23" s="209" t="str">
        <f>'2. Tulud-kulud projektiga'!B23</f>
        <v>Ühik 5</v>
      </c>
      <c r="C23" s="210">
        <f>'2. Tulud-kulud projektiga'!C23</f>
        <v>0</v>
      </c>
      <c r="D23" s="171"/>
      <c r="E23" s="171"/>
      <c r="F23" s="171"/>
      <c r="G23" s="171"/>
      <c r="H23" s="171"/>
      <c r="I23" s="171"/>
      <c r="J23" s="171"/>
      <c r="K23" s="171"/>
      <c r="L23" s="171"/>
      <c r="M23" s="171"/>
      <c r="N23" s="171"/>
      <c r="O23" s="171"/>
      <c r="P23" s="171"/>
      <c r="Q23" s="171"/>
      <c r="R23" s="171"/>
      <c r="S23" s="163"/>
      <c r="T23" s="163"/>
    </row>
    <row r="24" spans="1:20" x14ac:dyDescent="0.35">
      <c r="A24" s="970"/>
      <c r="B24" s="209" t="s">
        <v>0</v>
      </c>
      <c r="C24" s="210" t="s">
        <v>3</v>
      </c>
      <c r="D24" s="171"/>
      <c r="E24" s="171"/>
      <c r="F24" s="171"/>
      <c r="G24" s="171"/>
      <c r="H24" s="171"/>
      <c r="I24" s="171"/>
      <c r="J24" s="171"/>
      <c r="K24" s="171"/>
      <c r="L24" s="171"/>
      <c r="M24" s="171"/>
      <c r="N24" s="171"/>
      <c r="O24" s="171"/>
      <c r="P24" s="171"/>
      <c r="Q24" s="171"/>
      <c r="R24" s="171"/>
      <c r="S24" s="163"/>
      <c r="T24" s="163"/>
    </row>
    <row r="25" spans="1:20" x14ac:dyDescent="0.35">
      <c r="A25" s="970"/>
      <c r="B25" s="212" t="s">
        <v>1</v>
      </c>
      <c r="C25" s="213" t="s">
        <v>3</v>
      </c>
      <c r="D25" s="211">
        <f t="shared" ref="D25:R25" si="11">D23*D24</f>
        <v>0</v>
      </c>
      <c r="E25" s="211">
        <f t="shared" si="11"/>
        <v>0</v>
      </c>
      <c r="F25" s="211">
        <f t="shared" si="11"/>
        <v>0</v>
      </c>
      <c r="G25" s="211">
        <f t="shared" si="11"/>
        <v>0</v>
      </c>
      <c r="H25" s="211">
        <f t="shared" si="11"/>
        <v>0</v>
      </c>
      <c r="I25" s="211">
        <f t="shared" si="11"/>
        <v>0</v>
      </c>
      <c r="J25" s="211">
        <f t="shared" si="11"/>
        <v>0</v>
      </c>
      <c r="K25" s="211">
        <f t="shared" si="11"/>
        <v>0</v>
      </c>
      <c r="L25" s="211">
        <f t="shared" si="11"/>
        <v>0</v>
      </c>
      <c r="M25" s="211">
        <f t="shared" si="11"/>
        <v>0</v>
      </c>
      <c r="N25" s="211">
        <f t="shared" si="11"/>
        <v>0</v>
      </c>
      <c r="O25" s="211">
        <f t="shared" si="11"/>
        <v>0</v>
      </c>
      <c r="P25" s="211">
        <f t="shared" si="11"/>
        <v>0</v>
      </c>
      <c r="Q25" s="211">
        <f t="shared" ref="Q25" si="12">Q23*Q24</f>
        <v>0</v>
      </c>
      <c r="R25" s="211">
        <f t="shared" si="11"/>
        <v>0</v>
      </c>
      <c r="S25" s="163"/>
      <c r="T25" s="163"/>
    </row>
    <row r="26" spans="1:20" ht="5.25" customHeight="1" x14ac:dyDescent="0.35">
      <c r="A26" s="214"/>
      <c r="B26" s="173"/>
      <c r="C26" s="174"/>
      <c r="D26" s="174"/>
      <c r="E26" s="174"/>
      <c r="F26" s="174"/>
      <c r="G26" s="174"/>
      <c r="H26" s="174"/>
      <c r="I26" s="174"/>
      <c r="J26" s="174"/>
      <c r="K26" s="174"/>
      <c r="L26" s="174"/>
      <c r="M26" s="174"/>
      <c r="N26" s="174"/>
      <c r="O26" s="174"/>
      <c r="P26" s="174"/>
      <c r="Q26" s="174"/>
      <c r="R26" s="175"/>
      <c r="S26" s="163"/>
      <c r="T26" s="163"/>
    </row>
    <row r="27" spans="1:20" hidden="1" outlineLevel="1" x14ac:dyDescent="0.35">
      <c r="A27" s="970" t="str">
        <f>'2. Tulud-kulud projektiga'!A27:A29</f>
        <v>Toode/teenus 6</v>
      </c>
      <c r="B27" s="209" t="str">
        <f>'2. Tulud-kulud projektiga'!B27</f>
        <v>Ühik 6</v>
      </c>
      <c r="C27" s="210">
        <f>'2. Tulud-kulud projektiga'!C27</f>
        <v>0</v>
      </c>
      <c r="D27" s="171"/>
      <c r="E27" s="171"/>
      <c r="F27" s="171"/>
      <c r="G27" s="171"/>
      <c r="H27" s="171"/>
      <c r="I27" s="171"/>
      <c r="J27" s="171"/>
      <c r="K27" s="171"/>
      <c r="L27" s="171"/>
      <c r="M27" s="171"/>
      <c r="N27" s="171"/>
      <c r="O27" s="171"/>
      <c r="P27" s="171"/>
      <c r="Q27" s="171"/>
      <c r="R27" s="171"/>
      <c r="S27" s="163"/>
      <c r="T27" s="163"/>
    </row>
    <row r="28" spans="1:20" hidden="1" outlineLevel="1" x14ac:dyDescent="0.35">
      <c r="A28" s="970"/>
      <c r="B28" s="209" t="s">
        <v>0</v>
      </c>
      <c r="C28" s="210"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970"/>
      <c r="B29" s="212" t="s">
        <v>1</v>
      </c>
      <c r="C29" s="213" t="s">
        <v>3</v>
      </c>
      <c r="D29" s="211">
        <f t="shared" ref="D29:R29" si="13">D27*D28</f>
        <v>0</v>
      </c>
      <c r="E29" s="211">
        <f t="shared" si="13"/>
        <v>0</v>
      </c>
      <c r="F29" s="211">
        <f t="shared" si="13"/>
        <v>0</v>
      </c>
      <c r="G29" s="211">
        <f t="shared" si="13"/>
        <v>0</v>
      </c>
      <c r="H29" s="211">
        <f t="shared" si="13"/>
        <v>0</v>
      </c>
      <c r="I29" s="211">
        <f t="shared" si="13"/>
        <v>0</v>
      </c>
      <c r="J29" s="211">
        <f t="shared" si="13"/>
        <v>0</v>
      </c>
      <c r="K29" s="211">
        <f t="shared" si="13"/>
        <v>0</v>
      </c>
      <c r="L29" s="211">
        <f t="shared" si="13"/>
        <v>0</v>
      </c>
      <c r="M29" s="211">
        <f t="shared" si="13"/>
        <v>0</v>
      </c>
      <c r="N29" s="211">
        <f t="shared" si="13"/>
        <v>0</v>
      </c>
      <c r="O29" s="211">
        <f t="shared" si="13"/>
        <v>0</v>
      </c>
      <c r="P29" s="211">
        <f t="shared" si="13"/>
        <v>0</v>
      </c>
      <c r="Q29" s="211">
        <f t="shared" ref="Q29" si="14">Q27*Q28</f>
        <v>0</v>
      </c>
      <c r="R29" s="211">
        <f t="shared" si="13"/>
        <v>0</v>
      </c>
      <c r="S29" s="163"/>
      <c r="T29" s="163"/>
    </row>
    <row r="30" spans="1:20" ht="5.25" hidden="1" customHeight="1" outlineLevel="1" x14ac:dyDescent="0.35">
      <c r="A30" s="214"/>
      <c r="B30" s="173"/>
      <c r="C30" s="174"/>
      <c r="D30" s="174"/>
      <c r="E30" s="174"/>
      <c r="F30" s="174"/>
      <c r="G30" s="174"/>
      <c r="H30" s="174"/>
      <c r="I30" s="174"/>
      <c r="J30" s="174"/>
      <c r="K30" s="174"/>
      <c r="L30" s="174"/>
      <c r="M30" s="174"/>
      <c r="N30" s="174"/>
      <c r="O30" s="174"/>
      <c r="P30" s="174"/>
      <c r="Q30" s="174"/>
      <c r="R30" s="175"/>
      <c r="S30" s="163"/>
      <c r="T30" s="163"/>
    </row>
    <row r="31" spans="1:20" hidden="1" outlineLevel="1" x14ac:dyDescent="0.35">
      <c r="A31" s="970" t="str">
        <f>'2. Tulud-kulud projektiga'!A31:A33</f>
        <v>Toode/teenus 7</v>
      </c>
      <c r="B31" s="209" t="str">
        <f>'2. Tulud-kulud projektiga'!B31</f>
        <v>Ühik 7</v>
      </c>
      <c r="C31" s="210">
        <f>'2. Tulud-kulud projektiga'!C31</f>
        <v>0</v>
      </c>
      <c r="D31" s="171"/>
      <c r="E31" s="171"/>
      <c r="F31" s="171"/>
      <c r="G31" s="171"/>
      <c r="H31" s="171"/>
      <c r="I31" s="171"/>
      <c r="J31" s="171"/>
      <c r="K31" s="171"/>
      <c r="L31" s="171"/>
      <c r="M31" s="171"/>
      <c r="N31" s="171"/>
      <c r="O31" s="171"/>
      <c r="P31" s="171"/>
      <c r="Q31" s="171"/>
      <c r="R31" s="171"/>
      <c r="S31" s="163"/>
      <c r="T31" s="163"/>
    </row>
    <row r="32" spans="1:20" hidden="1" outlineLevel="1" x14ac:dyDescent="0.35">
      <c r="A32" s="970"/>
      <c r="B32" s="209" t="s">
        <v>0</v>
      </c>
      <c r="C32" s="210"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970"/>
      <c r="B33" s="212" t="s">
        <v>1</v>
      </c>
      <c r="C33" s="213" t="s">
        <v>3</v>
      </c>
      <c r="D33" s="211">
        <f t="shared" ref="D33:R33" si="15">D31*D32</f>
        <v>0</v>
      </c>
      <c r="E33" s="211">
        <f t="shared" si="15"/>
        <v>0</v>
      </c>
      <c r="F33" s="211">
        <f t="shared" si="15"/>
        <v>0</v>
      </c>
      <c r="G33" s="211">
        <f t="shared" si="15"/>
        <v>0</v>
      </c>
      <c r="H33" s="211">
        <f t="shared" si="15"/>
        <v>0</v>
      </c>
      <c r="I33" s="211">
        <f t="shared" si="15"/>
        <v>0</v>
      </c>
      <c r="J33" s="211">
        <f t="shared" si="15"/>
        <v>0</v>
      </c>
      <c r="K33" s="211">
        <f t="shared" si="15"/>
        <v>0</v>
      </c>
      <c r="L33" s="211">
        <f t="shared" si="15"/>
        <v>0</v>
      </c>
      <c r="M33" s="211">
        <f t="shared" si="15"/>
        <v>0</v>
      </c>
      <c r="N33" s="211">
        <f t="shared" si="15"/>
        <v>0</v>
      </c>
      <c r="O33" s="211">
        <f t="shared" si="15"/>
        <v>0</v>
      </c>
      <c r="P33" s="211">
        <f t="shared" si="15"/>
        <v>0</v>
      </c>
      <c r="Q33" s="211">
        <f t="shared" ref="Q33" si="16">Q31*Q32</f>
        <v>0</v>
      </c>
      <c r="R33" s="211">
        <f t="shared" si="15"/>
        <v>0</v>
      </c>
      <c r="S33" s="163"/>
      <c r="T33" s="163"/>
    </row>
    <row r="34" spans="1:20" ht="5.25" hidden="1" customHeight="1" outlineLevel="1" x14ac:dyDescent="0.35">
      <c r="A34" s="214"/>
      <c r="B34" s="173"/>
      <c r="C34" s="174"/>
      <c r="D34" s="174"/>
      <c r="E34" s="174"/>
      <c r="F34" s="174"/>
      <c r="G34" s="174"/>
      <c r="H34" s="174"/>
      <c r="I34" s="174"/>
      <c r="J34" s="174"/>
      <c r="K34" s="174"/>
      <c r="L34" s="174"/>
      <c r="M34" s="174"/>
      <c r="N34" s="174"/>
      <c r="O34" s="174"/>
      <c r="P34" s="174"/>
      <c r="Q34" s="174"/>
      <c r="R34" s="175"/>
      <c r="S34" s="163"/>
      <c r="T34" s="163"/>
    </row>
    <row r="35" spans="1:20" hidden="1" outlineLevel="1" x14ac:dyDescent="0.35">
      <c r="A35" s="970" t="str">
        <f>'2. Tulud-kulud projektiga'!A35:A37</f>
        <v>Toode/teenus 8</v>
      </c>
      <c r="B35" s="209" t="str">
        <f>'2. Tulud-kulud projektiga'!B35</f>
        <v>Ühik 8</v>
      </c>
      <c r="C35" s="210">
        <f>'2. Tulud-kulud projektiga'!C35</f>
        <v>0</v>
      </c>
      <c r="D35" s="171"/>
      <c r="E35" s="171"/>
      <c r="F35" s="171"/>
      <c r="G35" s="171"/>
      <c r="H35" s="171"/>
      <c r="I35" s="171"/>
      <c r="J35" s="171"/>
      <c r="K35" s="171"/>
      <c r="L35" s="171"/>
      <c r="M35" s="171"/>
      <c r="N35" s="171"/>
      <c r="O35" s="171"/>
      <c r="P35" s="171"/>
      <c r="Q35" s="171"/>
      <c r="R35" s="171"/>
      <c r="S35" s="163"/>
      <c r="T35" s="163"/>
    </row>
    <row r="36" spans="1:20" hidden="1" outlineLevel="1" x14ac:dyDescent="0.35">
      <c r="A36" s="970"/>
      <c r="B36" s="209" t="s">
        <v>0</v>
      </c>
      <c r="C36" s="210"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970"/>
      <c r="B37" s="212" t="s">
        <v>1</v>
      </c>
      <c r="C37" s="213" t="s">
        <v>3</v>
      </c>
      <c r="D37" s="211">
        <f t="shared" ref="D37:R37" si="17">D35*D36</f>
        <v>0</v>
      </c>
      <c r="E37" s="211">
        <f t="shared" si="17"/>
        <v>0</v>
      </c>
      <c r="F37" s="211">
        <f t="shared" si="17"/>
        <v>0</v>
      </c>
      <c r="G37" s="211">
        <f t="shared" si="17"/>
        <v>0</v>
      </c>
      <c r="H37" s="211">
        <f t="shared" si="17"/>
        <v>0</v>
      </c>
      <c r="I37" s="211">
        <f t="shared" si="17"/>
        <v>0</v>
      </c>
      <c r="J37" s="211">
        <f t="shared" si="17"/>
        <v>0</v>
      </c>
      <c r="K37" s="211">
        <f t="shared" si="17"/>
        <v>0</v>
      </c>
      <c r="L37" s="211">
        <f t="shared" si="17"/>
        <v>0</v>
      </c>
      <c r="M37" s="211">
        <f t="shared" si="17"/>
        <v>0</v>
      </c>
      <c r="N37" s="211">
        <f t="shared" si="17"/>
        <v>0</v>
      </c>
      <c r="O37" s="211">
        <f t="shared" si="17"/>
        <v>0</v>
      </c>
      <c r="P37" s="211">
        <f t="shared" si="17"/>
        <v>0</v>
      </c>
      <c r="Q37" s="211">
        <f t="shared" ref="Q37" si="18">Q35*Q36</f>
        <v>0</v>
      </c>
      <c r="R37" s="211">
        <f t="shared" si="17"/>
        <v>0</v>
      </c>
      <c r="S37" s="163"/>
      <c r="T37" s="163"/>
    </row>
    <row r="38" spans="1:20" ht="5.25" hidden="1" customHeight="1" outlineLevel="1" x14ac:dyDescent="0.35">
      <c r="A38" s="214"/>
      <c r="B38" s="173"/>
      <c r="C38" s="174"/>
      <c r="D38" s="174"/>
      <c r="E38" s="174"/>
      <c r="F38" s="174"/>
      <c r="G38" s="174"/>
      <c r="H38" s="174"/>
      <c r="I38" s="174"/>
      <c r="J38" s="174"/>
      <c r="K38" s="174"/>
      <c r="L38" s="174"/>
      <c r="M38" s="174"/>
      <c r="N38" s="174"/>
      <c r="O38" s="174"/>
      <c r="P38" s="174"/>
      <c r="Q38" s="174"/>
      <c r="R38" s="175"/>
      <c r="S38" s="163"/>
      <c r="T38" s="163"/>
    </row>
    <row r="39" spans="1:20" hidden="1" outlineLevel="1" x14ac:dyDescent="0.35">
      <c r="A39" s="970" t="str">
        <f>'2. Tulud-kulud projektiga'!A39:A41</f>
        <v>Toode/teenus 9</v>
      </c>
      <c r="B39" s="209" t="str">
        <f>'2. Tulud-kulud projektiga'!B39</f>
        <v>Ühik 9</v>
      </c>
      <c r="C39" s="210">
        <f>'2. Tulud-kulud projektiga'!C39</f>
        <v>0</v>
      </c>
      <c r="D39" s="171"/>
      <c r="E39" s="171"/>
      <c r="F39" s="171"/>
      <c r="G39" s="171"/>
      <c r="H39" s="171"/>
      <c r="I39" s="171"/>
      <c r="J39" s="171"/>
      <c r="K39" s="171"/>
      <c r="L39" s="171"/>
      <c r="M39" s="171"/>
      <c r="N39" s="171"/>
      <c r="O39" s="171"/>
      <c r="P39" s="171"/>
      <c r="Q39" s="171"/>
      <c r="R39" s="171"/>
      <c r="S39" s="163"/>
      <c r="T39" s="163"/>
    </row>
    <row r="40" spans="1:20" hidden="1" outlineLevel="1" x14ac:dyDescent="0.35">
      <c r="A40" s="970"/>
      <c r="B40" s="209" t="s">
        <v>0</v>
      </c>
      <c r="C40" s="210"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970"/>
      <c r="B41" s="212" t="s">
        <v>1</v>
      </c>
      <c r="C41" s="213" t="s">
        <v>3</v>
      </c>
      <c r="D41" s="211">
        <f t="shared" ref="D41:R41" si="19">D39*D40</f>
        <v>0</v>
      </c>
      <c r="E41" s="211">
        <f t="shared" si="19"/>
        <v>0</v>
      </c>
      <c r="F41" s="211">
        <f t="shared" si="19"/>
        <v>0</v>
      </c>
      <c r="G41" s="211">
        <f t="shared" si="19"/>
        <v>0</v>
      </c>
      <c r="H41" s="211">
        <f t="shared" si="19"/>
        <v>0</v>
      </c>
      <c r="I41" s="211">
        <f t="shared" si="19"/>
        <v>0</v>
      </c>
      <c r="J41" s="211">
        <f t="shared" si="19"/>
        <v>0</v>
      </c>
      <c r="K41" s="211">
        <f t="shared" si="19"/>
        <v>0</v>
      </c>
      <c r="L41" s="211">
        <f t="shared" si="19"/>
        <v>0</v>
      </c>
      <c r="M41" s="211">
        <f t="shared" si="19"/>
        <v>0</v>
      </c>
      <c r="N41" s="211">
        <f t="shared" si="19"/>
        <v>0</v>
      </c>
      <c r="O41" s="211">
        <f t="shared" si="19"/>
        <v>0</v>
      </c>
      <c r="P41" s="211">
        <f t="shared" si="19"/>
        <v>0</v>
      </c>
      <c r="Q41" s="211">
        <f t="shared" ref="Q41" si="20">Q39*Q40</f>
        <v>0</v>
      </c>
      <c r="R41" s="211">
        <f t="shared" si="19"/>
        <v>0</v>
      </c>
      <c r="S41" s="163"/>
      <c r="T41" s="163"/>
    </row>
    <row r="42" spans="1:20" ht="5.25" hidden="1" customHeight="1" outlineLevel="1" x14ac:dyDescent="0.35">
      <c r="A42" s="214"/>
      <c r="B42" s="173"/>
      <c r="C42" s="174"/>
      <c r="D42" s="174"/>
      <c r="E42" s="174"/>
      <c r="F42" s="174"/>
      <c r="G42" s="174"/>
      <c r="H42" s="174"/>
      <c r="I42" s="174"/>
      <c r="J42" s="174"/>
      <c r="K42" s="174"/>
      <c r="L42" s="174"/>
      <c r="M42" s="174"/>
      <c r="N42" s="174"/>
      <c r="O42" s="174"/>
      <c r="P42" s="174"/>
      <c r="Q42" s="174"/>
      <c r="R42" s="175"/>
      <c r="S42" s="163"/>
      <c r="T42" s="163"/>
    </row>
    <row r="43" spans="1:20" hidden="1" outlineLevel="1" x14ac:dyDescent="0.35">
      <c r="A43" s="970" t="str">
        <f>'2. Tulud-kulud projektiga'!A43:A45</f>
        <v>Toode/teenus 10</v>
      </c>
      <c r="B43" s="209" t="str">
        <f>'2. Tulud-kulud projektiga'!B43</f>
        <v>Ühik 10</v>
      </c>
      <c r="C43" s="210">
        <f>'2. Tulud-kulud projektiga'!C43</f>
        <v>0</v>
      </c>
      <c r="D43" s="171"/>
      <c r="E43" s="171"/>
      <c r="F43" s="171"/>
      <c r="G43" s="171"/>
      <c r="H43" s="171"/>
      <c r="I43" s="171"/>
      <c r="J43" s="171"/>
      <c r="K43" s="171"/>
      <c r="L43" s="171"/>
      <c r="M43" s="171"/>
      <c r="N43" s="171"/>
      <c r="O43" s="171"/>
      <c r="P43" s="171"/>
      <c r="Q43" s="171"/>
      <c r="R43" s="171"/>
      <c r="S43" s="163"/>
      <c r="T43" s="163"/>
    </row>
    <row r="44" spans="1:20" hidden="1" outlineLevel="1" x14ac:dyDescent="0.35">
      <c r="A44" s="970"/>
      <c r="B44" s="209" t="s">
        <v>0</v>
      </c>
      <c r="C44" s="210"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970"/>
      <c r="B45" s="212" t="s">
        <v>1</v>
      </c>
      <c r="C45" s="213" t="s">
        <v>3</v>
      </c>
      <c r="D45" s="211">
        <f t="shared" ref="D45:R45" si="21">D43*D44</f>
        <v>0</v>
      </c>
      <c r="E45" s="211">
        <f t="shared" si="21"/>
        <v>0</v>
      </c>
      <c r="F45" s="211">
        <f t="shared" si="21"/>
        <v>0</v>
      </c>
      <c r="G45" s="211">
        <f t="shared" si="21"/>
        <v>0</v>
      </c>
      <c r="H45" s="211">
        <f t="shared" si="21"/>
        <v>0</v>
      </c>
      <c r="I45" s="211">
        <f t="shared" si="21"/>
        <v>0</v>
      </c>
      <c r="J45" s="211">
        <f t="shared" si="21"/>
        <v>0</v>
      </c>
      <c r="K45" s="211">
        <f t="shared" si="21"/>
        <v>0</v>
      </c>
      <c r="L45" s="211">
        <f t="shared" si="21"/>
        <v>0</v>
      </c>
      <c r="M45" s="211">
        <f t="shared" si="21"/>
        <v>0</v>
      </c>
      <c r="N45" s="211">
        <f t="shared" si="21"/>
        <v>0</v>
      </c>
      <c r="O45" s="211">
        <f t="shared" si="21"/>
        <v>0</v>
      </c>
      <c r="P45" s="211">
        <f t="shared" si="21"/>
        <v>0</v>
      </c>
      <c r="Q45" s="211">
        <f t="shared" ref="Q45" si="22">Q43*Q44</f>
        <v>0</v>
      </c>
      <c r="R45" s="211">
        <f t="shared" si="21"/>
        <v>0</v>
      </c>
      <c r="S45" s="163"/>
      <c r="T45" s="163"/>
    </row>
    <row r="46" spans="1:20" ht="12" customHeight="1" collapsed="1" x14ac:dyDescent="0.35">
      <c r="A46" s="176"/>
      <c r="B46" s="173"/>
      <c r="C46" s="174"/>
      <c r="D46" s="174"/>
      <c r="E46" s="174"/>
      <c r="F46" s="174"/>
      <c r="G46" s="174"/>
      <c r="H46" s="174"/>
      <c r="I46" s="174"/>
      <c r="J46" s="174"/>
      <c r="K46" s="174"/>
      <c r="L46" s="174"/>
      <c r="M46" s="174"/>
      <c r="N46" s="174"/>
      <c r="O46" s="174"/>
      <c r="P46" s="174"/>
      <c r="Q46" s="174"/>
      <c r="R46" s="175"/>
      <c r="S46" s="163"/>
      <c r="T46" s="163"/>
    </row>
    <row r="47" spans="1:20" ht="18.75" customHeight="1" x14ac:dyDescent="0.35">
      <c r="A47" s="966" t="str">
        <f>'2. Tulud-kulud projektiga'!A47:B47</f>
        <v>Tulu üürnikelt otseste kommunaalteenuste eest</v>
      </c>
      <c r="B47" s="967"/>
      <c r="C47" s="213" t="s">
        <v>3</v>
      </c>
      <c r="D47" s="171"/>
      <c r="E47" s="171"/>
      <c r="F47" s="171"/>
      <c r="G47" s="171"/>
      <c r="H47" s="171"/>
      <c r="I47" s="171"/>
      <c r="J47" s="171"/>
      <c r="K47" s="171"/>
      <c r="L47" s="171"/>
      <c r="M47" s="171"/>
      <c r="N47" s="171"/>
      <c r="O47" s="171"/>
      <c r="P47" s="171"/>
      <c r="Q47" s="171"/>
      <c r="R47" s="171"/>
      <c r="S47" s="163"/>
      <c r="T47" s="163"/>
    </row>
    <row r="48" spans="1:20" ht="18.75" customHeight="1" x14ac:dyDescent="0.35">
      <c r="A48" s="966" t="str">
        <f>'2. Tulud-kulud projektiga'!A48:B48</f>
        <v>Tulu üürnikelt jagatud kulude eest</v>
      </c>
      <c r="B48" s="967"/>
      <c r="C48" s="213" t="s">
        <v>3</v>
      </c>
      <c r="D48" s="171"/>
      <c r="E48" s="171"/>
      <c r="F48" s="171"/>
      <c r="G48" s="171"/>
      <c r="H48" s="171"/>
      <c r="I48" s="171"/>
      <c r="J48" s="171"/>
      <c r="K48" s="171"/>
      <c r="L48" s="171"/>
      <c r="M48" s="171"/>
      <c r="N48" s="171"/>
      <c r="O48" s="171"/>
      <c r="P48" s="171"/>
      <c r="Q48" s="171"/>
      <c r="R48" s="171"/>
      <c r="S48" s="163"/>
      <c r="T48" s="163"/>
    </row>
    <row r="49" spans="1:21" ht="18.75" customHeight="1" x14ac:dyDescent="0.35">
      <c r="A49" s="966" t="str">
        <f>'2. Tulud-kulud projektiga'!A49:B49</f>
        <v>Muu tulu (nimetage)</v>
      </c>
      <c r="B49" s="967"/>
      <c r="C49" s="213" t="s">
        <v>3</v>
      </c>
      <c r="D49" s="171"/>
      <c r="E49" s="171"/>
      <c r="F49" s="171"/>
      <c r="G49" s="171"/>
      <c r="H49" s="171"/>
      <c r="I49" s="171"/>
      <c r="J49" s="171"/>
      <c r="K49" s="171"/>
      <c r="L49" s="171"/>
      <c r="M49" s="171"/>
      <c r="N49" s="171"/>
      <c r="O49" s="171"/>
      <c r="P49" s="171"/>
      <c r="Q49" s="171"/>
      <c r="R49" s="171"/>
      <c r="S49" s="163"/>
      <c r="T49" s="163"/>
    </row>
    <row r="50" spans="1:21" ht="18.75" customHeight="1" x14ac:dyDescent="0.35">
      <c r="A50" s="966" t="str">
        <f>'2. Tulud-kulud projektiga'!A50:B50</f>
        <v>Muu tulu (nimetage)</v>
      </c>
      <c r="B50" s="967"/>
      <c r="C50" s="213" t="s">
        <v>3</v>
      </c>
      <c r="D50" s="171"/>
      <c r="E50" s="171"/>
      <c r="F50" s="171"/>
      <c r="G50" s="171"/>
      <c r="H50" s="171"/>
      <c r="I50" s="171"/>
      <c r="J50" s="171"/>
      <c r="K50" s="171"/>
      <c r="L50" s="171"/>
      <c r="M50" s="171"/>
      <c r="N50" s="171"/>
      <c r="O50" s="171"/>
      <c r="P50" s="171"/>
      <c r="Q50" s="171"/>
      <c r="R50" s="171"/>
      <c r="S50" s="163"/>
      <c r="T50" s="163"/>
    </row>
    <row r="51" spans="1:21" ht="18.75" customHeight="1" x14ac:dyDescent="0.35">
      <c r="A51" s="966" t="str">
        <f>'2. Tulud-kulud projektiga'!A51:B51</f>
        <v>Muu tulu (nimetage)</v>
      </c>
      <c r="B51" s="967"/>
      <c r="C51" s="213" t="s">
        <v>3</v>
      </c>
      <c r="D51" s="171"/>
      <c r="E51" s="171"/>
      <c r="F51" s="171"/>
      <c r="G51" s="171"/>
      <c r="H51" s="171"/>
      <c r="I51" s="171"/>
      <c r="J51" s="171"/>
      <c r="K51" s="171"/>
      <c r="L51" s="171"/>
      <c r="M51" s="171"/>
      <c r="N51" s="171"/>
      <c r="O51" s="171"/>
      <c r="P51" s="171"/>
      <c r="Q51" s="171"/>
      <c r="R51" s="171"/>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79" customFormat="1" ht="21" customHeight="1" x14ac:dyDescent="0.35">
      <c r="A53" s="968" t="s">
        <v>8</v>
      </c>
      <c r="B53" s="969"/>
      <c r="C53" s="215" t="s">
        <v>3</v>
      </c>
      <c r="D53" s="216">
        <f t="shared" ref="D53:R53" si="23">D9+D13+D17+D21+D25+D29+D33+D37+D41+D45+D47+D48+D49+D50+D51</f>
        <v>0</v>
      </c>
      <c r="E53" s="216">
        <f t="shared" si="23"/>
        <v>0</v>
      </c>
      <c r="F53" s="216">
        <f t="shared" si="23"/>
        <v>0</v>
      </c>
      <c r="G53" s="216">
        <f t="shared" si="23"/>
        <v>0</v>
      </c>
      <c r="H53" s="216">
        <f t="shared" si="23"/>
        <v>0</v>
      </c>
      <c r="I53" s="216">
        <f t="shared" si="23"/>
        <v>0</v>
      </c>
      <c r="J53" s="216">
        <f t="shared" si="23"/>
        <v>0</v>
      </c>
      <c r="K53" s="216">
        <f t="shared" si="23"/>
        <v>0</v>
      </c>
      <c r="L53" s="216">
        <f t="shared" si="23"/>
        <v>0</v>
      </c>
      <c r="M53" s="216">
        <f t="shared" si="23"/>
        <v>0</v>
      </c>
      <c r="N53" s="216">
        <f t="shared" si="23"/>
        <v>0</v>
      </c>
      <c r="O53" s="216">
        <f t="shared" si="23"/>
        <v>0</v>
      </c>
      <c r="P53" s="216">
        <f t="shared" si="23"/>
        <v>0</v>
      </c>
      <c r="Q53" s="216">
        <f t="shared" ref="Q53" si="24">Q9+Q13+Q17+Q21+Q25+Q29+Q33+Q37+Q41+Q45+Q47+Q48+Q49+Q50+Q51</f>
        <v>0</v>
      </c>
      <c r="R53" s="216">
        <f t="shared" si="23"/>
        <v>0</v>
      </c>
      <c r="S53" s="178"/>
      <c r="T53" s="178"/>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0"/>
      <c r="C55" s="163"/>
      <c r="D55" s="163"/>
      <c r="E55" s="163"/>
      <c r="F55" s="163"/>
      <c r="G55" s="163"/>
      <c r="H55" s="163"/>
      <c r="I55" s="163"/>
      <c r="J55" s="163"/>
      <c r="K55" s="163"/>
      <c r="L55" s="163"/>
      <c r="M55" s="163"/>
      <c r="N55" s="163"/>
      <c r="O55" s="163"/>
      <c r="P55" s="163"/>
      <c r="Q55" s="163"/>
      <c r="R55" s="163"/>
      <c r="S55" s="163"/>
      <c r="T55" s="163"/>
    </row>
    <row r="56" spans="1:21" ht="15.5" x14ac:dyDescent="0.35">
      <c r="A56" s="181" t="s">
        <v>17</v>
      </c>
      <c r="B56" s="180"/>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970" t="str">
        <f>'2. Tulud-kulud projektiga'!A58:A79</f>
        <v>Tööjõukulud</v>
      </c>
      <c r="B58" s="209" t="str">
        <f>'2. Tulud-kulud projektiga'!B58</f>
        <v>Haldusjuht</v>
      </c>
      <c r="C58" s="210" t="s">
        <v>3</v>
      </c>
      <c r="D58" s="171"/>
      <c r="E58" s="171"/>
      <c r="F58" s="171"/>
      <c r="G58" s="171"/>
      <c r="H58" s="171"/>
      <c r="I58" s="171"/>
      <c r="J58" s="171"/>
      <c r="K58" s="171"/>
      <c r="L58" s="171"/>
      <c r="M58" s="171"/>
      <c r="N58" s="171"/>
      <c r="O58" s="171"/>
      <c r="P58" s="171"/>
      <c r="Q58" s="171"/>
      <c r="R58" s="171"/>
      <c r="S58" s="182"/>
      <c r="T58" s="182"/>
      <c r="U58" s="183"/>
    </row>
    <row r="59" spans="1:21" x14ac:dyDescent="0.35">
      <c r="A59" s="970"/>
      <c r="B59" s="209" t="str">
        <f>'2. Tulud-kulud projektiga'!B59</f>
        <v>Soft-landing konsultant</v>
      </c>
      <c r="C59" s="210" t="s">
        <v>3</v>
      </c>
      <c r="D59" s="171"/>
      <c r="E59" s="171"/>
      <c r="F59" s="171"/>
      <c r="G59" s="171"/>
      <c r="H59" s="171"/>
      <c r="I59" s="171"/>
      <c r="J59" s="171"/>
      <c r="K59" s="171"/>
      <c r="L59" s="171"/>
      <c r="M59" s="171"/>
      <c r="N59" s="171"/>
      <c r="O59" s="171"/>
      <c r="P59" s="171"/>
      <c r="Q59" s="171"/>
      <c r="R59" s="171"/>
      <c r="S59" s="182"/>
      <c r="T59" s="182"/>
      <c r="U59" s="183"/>
    </row>
    <row r="60" spans="1:21" x14ac:dyDescent="0.35">
      <c r="A60" s="970"/>
      <c r="B60" s="209" t="str">
        <f>'2. Tulud-kulud projektiga'!B60</f>
        <v>Turundusjuht</v>
      </c>
      <c r="C60" s="210" t="s">
        <v>3</v>
      </c>
      <c r="D60" s="171"/>
      <c r="E60" s="171"/>
      <c r="F60" s="171"/>
      <c r="G60" s="171"/>
      <c r="H60" s="171"/>
      <c r="I60" s="171"/>
      <c r="J60" s="171"/>
      <c r="K60" s="171"/>
      <c r="L60" s="171"/>
      <c r="M60" s="171"/>
      <c r="N60" s="171"/>
      <c r="O60" s="171"/>
      <c r="P60" s="171"/>
      <c r="Q60" s="171"/>
      <c r="R60" s="171"/>
      <c r="S60" s="182"/>
      <c r="T60" s="182"/>
      <c r="U60" s="183"/>
    </row>
    <row r="61" spans="1:21" x14ac:dyDescent="0.35">
      <c r="A61" s="970"/>
      <c r="B61" s="209" t="str">
        <f>'2. Tulud-kulud projektiga'!B61</f>
        <v>Töötaja 4</v>
      </c>
      <c r="C61" s="210" t="s">
        <v>3</v>
      </c>
      <c r="D61" s="171"/>
      <c r="E61" s="171"/>
      <c r="F61" s="171"/>
      <c r="G61" s="171"/>
      <c r="H61" s="171"/>
      <c r="I61" s="171"/>
      <c r="J61" s="171"/>
      <c r="K61" s="171"/>
      <c r="L61" s="171"/>
      <c r="M61" s="171"/>
      <c r="N61" s="171"/>
      <c r="O61" s="171"/>
      <c r="P61" s="171"/>
      <c r="Q61" s="171"/>
      <c r="R61" s="171"/>
      <c r="S61" s="182"/>
      <c r="T61" s="182"/>
      <c r="U61" s="183"/>
    </row>
    <row r="62" spans="1:21" x14ac:dyDescent="0.35">
      <c r="A62" s="970"/>
      <c r="B62" s="209" t="str">
        <f>'2. Tulud-kulud projektiga'!B62</f>
        <v>Töötaja 5</v>
      </c>
      <c r="C62" s="210" t="s">
        <v>3</v>
      </c>
      <c r="D62" s="171"/>
      <c r="E62" s="171"/>
      <c r="F62" s="171"/>
      <c r="G62" s="171"/>
      <c r="H62" s="171"/>
      <c r="I62" s="171"/>
      <c r="J62" s="171"/>
      <c r="K62" s="171"/>
      <c r="L62" s="171"/>
      <c r="M62" s="171"/>
      <c r="N62" s="171"/>
      <c r="O62" s="171"/>
      <c r="P62" s="171"/>
      <c r="Q62" s="171"/>
      <c r="R62" s="171"/>
      <c r="S62" s="182"/>
      <c r="T62" s="182"/>
      <c r="U62" s="183"/>
    </row>
    <row r="63" spans="1:21" x14ac:dyDescent="0.35">
      <c r="A63" s="970"/>
      <c r="B63" s="209" t="str">
        <f>'2. Tulud-kulud projektiga'!B63</f>
        <v>Töötaja 6</v>
      </c>
      <c r="C63" s="210" t="s">
        <v>3</v>
      </c>
      <c r="D63" s="171"/>
      <c r="E63" s="171"/>
      <c r="F63" s="171"/>
      <c r="G63" s="171"/>
      <c r="H63" s="171"/>
      <c r="I63" s="171"/>
      <c r="J63" s="171"/>
      <c r="K63" s="171"/>
      <c r="L63" s="171"/>
      <c r="M63" s="171"/>
      <c r="N63" s="171"/>
      <c r="O63" s="171"/>
      <c r="P63" s="171"/>
      <c r="Q63" s="171"/>
      <c r="R63" s="171"/>
      <c r="S63" s="182"/>
      <c r="T63" s="182"/>
      <c r="U63" s="183"/>
    </row>
    <row r="64" spans="1:21" x14ac:dyDescent="0.35">
      <c r="A64" s="970"/>
      <c r="B64" s="209" t="str">
        <f>'2. Tulud-kulud projektiga'!B64</f>
        <v>Töötaja 7</v>
      </c>
      <c r="C64" s="210" t="s">
        <v>3</v>
      </c>
      <c r="D64" s="171"/>
      <c r="E64" s="171"/>
      <c r="F64" s="171"/>
      <c r="G64" s="171"/>
      <c r="H64" s="171"/>
      <c r="I64" s="171"/>
      <c r="J64" s="171"/>
      <c r="K64" s="171"/>
      <c r="L64" s="171"/>
      <c r="M64" s="171"/>
      <c r="N64" s="171"/>
      <c r="O64" s="171"/>
      <c r="P64" s="171"/>
      <c r="Q64" s="171"/>
      <c r="R64" s="171"/>
      <c r="S64" s="182"/>
      <c r="T64" s="182"/>
      <c r="U64" s="183"/>
    </row>
    <row r="65" spans="1:21" x14ac:dyDescent="0.35">
      <c r="A65" s="970"/>
      <c r="B65" s="209" t="str">
        <f>'2. Tulud-kulud projektiga'!B65</f>
        <v>Töötaja 8</v>
      </c>
      <c r="C65" s="210" t="s">
        <v>3</v>
      </c>
      <c r="D65" s="171"/>
      <c r="E65" s="171"/>
      <c r="F65" s="171"/>
      <c r="G65" s="171"/>
      <c r="H65" s="171"/>
      <c r="I65" s="171"/>
      <c r="J65" s="171"/>
      <c r="K65" s="171"/>
      <c r="L65" s="171"/>
      <c r="M65" s="171"/>
      <c r="N65" s="171"/>
      <c r="O65" s="171"/>
      <c r="P65" s="171"/>
      <c r="Q65" s="171"/>
      <c r="R65" s="171"/>
      <c r="S65" s="182"/>
      <c r="T65" s="182"/>
      <c r="U65" s="183"/>
    </row>
    <row r="66" spans="1:21" x14ac:dyDescent="0.35">
      <c r="A66" s="970"/>
      <c r="B66" s="209" t="str">
        <f>'2. Tulud-kulud projektiga'!B66</f>
        <v>Töötaja 9</v>
      </c>
      <c r="C66" s="210" t="s">
        <v>3</v>
      </c>
      <c r="D66" s="171"/>
      <c r="E66" s="171"/>
      <c r="F66" s="171"/>
      <c r="G66" s="171"/>
      <c r="H66" s="171"/>
      <c r="I66" s="171"/>
      <c r="J66" s="171"/>
      <c r="K66" s="171"/>
      <c r="L66" s="171"/>
      <c r="M66" s="171"/>
      <c r="N66" s="171"/>
      <c r="O66" s="171"/>
      <c r="P66" s="171"/>
      <c r="Q66" s="171"/>
      <c r="R66" s="171"/>
      <c r="S66" s="182"/>
      <c r="T66" s="182"/>
      <c r="U66" s="183"/>
    </row>
    <row r="67" spans="1:21" x14ac:dyDescent="0.35">
      <c r="A67" s="970"/>
      <c r="B67" s="209" t="str">
        <f>'2. Tulud-kulud projektiga'!B67</f>
        <v>Töötaja 10</v>
      </c>
      <c r="C67" s="210"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35">
      <c r="A68" s="970"/>
      <c r="B68" s="209">
        <f>'2. Tulud-kulud projektiga'!B68</f>
        <v>0</v>
      </c>
      <c r="C68" s="210"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35">
      <c r="A69" s="970"/>
      <c r="B69" s="209" t="str">
        <f>'2. Tulud-kulud projektiga'!B69</f>
        <v>Töötaja 12</v>
      </c>
      <c r="C69" s="210"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35">
      <c r="A70" s="970"/>
      <c r="B70" s="209" t="str">
        <f>'2. Tulud-kulud projektiga'!B70</f>
        <v>Töötaja 13</v>
      </c>
      <c r="C70" s="210"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35">
      <c r="A71" s="970"/>
      <c r="B71" s="209" t="str">
        <f>'2. Tulud-kulud projektiga'!B71</f>
        <v>Töötaja 14</v>
      </c>
      <c r="C71" s="210"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35">
      <c r="A72" s="970"/>
      <c r="B72" s="209" t="str">
        <f>'2. Tulud-kulud projektiga'!B72</f>
        <v>Töötaja 15</v>
      </c>
      <c r="C72" s="210"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35">
      <c r="A73" s="970"/>
      <c r="B73" s="209" t="str">
        <f>'2. Tulud-kulud projektiga'!B73</f>
        <v>Töötaja 16</v>
      </c>
      <c r="C73" s="210"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35">
      <c r="A74" s="970"/>
      <c r="B74" s="209" t="str">
        <f>'2. Tulud-kulud projektiga'!B74</f>
        <v>Töötaja 17</v>
      </c>
      <c r="C74" s="210"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35">
      <c r="A75" s="970"/>
      <c r="B75" s="209" t="str">
        <f>'2. Tulud-kulud projektiga'!B75</f>
        <v>Töötaja 18</v>
      </c>
      <c r="C75" s="210"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35">
      <c r="A76" s="970"/>
      <c r="B76" s="209" t="str">
        <f>'2. Tulud-kulud projektiga'!B76</f>
        <v>Töötaja 19</v>
      </c>
      <c r="C76" s="210"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35">
      <c r="A77" s="970"/>
      <c r="B77" s="209" t="str">
        <f>'2. Tulud-kulud projektiga'!B77</f>
        <v>Töötaja 20</v>
      </c>
      <c r="C77" s="210" t="s">
        <v>3</v>
      </c>
      <c r="D77" s="171"/>
      <c r="E77" s="171"/>
      <c r="F77" s="171"/>
      <c r="G77" s="171"/>
      <c r="H77" s="171"/>
      <c r="I77" s="171"/>
      <c r="J77" s="171"/>
      <c r="K77" s="171"/>
      <c r="L77" s="171"/>
      <c r="M77" s="171"/>
      <c r="N77" s="171"/>
      <c r="O77" s="171"/>
      <c r="P77" s="171"/>
      <c r="Q77" s="171"/>
      <c r="R77" s="171"/>
      <c r="S77" s="182"/>
      <c r="T77" s="182"/>
      <c r="U77" s="183"/>
    </row>
    <row r="78" spans="1:21" collapsed="1" x14ac:dyDescent="0.35">
      <c r="A78" s="970"/>
      <c r="B78" s="209" t="s">
        <v>27</v>
      </c>
      <c r="C78" s="210" t="s">
        <v>3</v>
      </c>
      <c r="D78" s="217">
        <f t="shared" ref="D78:R78" si="25">SUM(D58:D77)</f>
        <v>0</v>
      </c>
      <c r="E78" s="217">
        <f t="shared" si="25"/>
        <v>0</v>
      </c>
      <c r="F78" s="217">
        <f t="shared" si="25"/>
        <v>0</v>
      </c>
      <c r="G78" s="217">
        <f t="shared" si="25"/>
        <v>0</v>
      </c>
      <c r="H78" s="217">
        <f t="shared" si="25"/>
        <v>0</v>
      </c>
      <c r="I78" s="217">
        <f t="shared" si="25"/>
        <v>0</v>
      </c>
      <c r="J78" s="217">
        <f t="shared" si="25"/>
        <v>0</v>
      </c>
      <c r="K78" s="217">
        <f t="shared" si="25"/>
        <v>0</v>
      </c>
      <c r="L78" s="217">
        <f t="shared" si="25"/>
        <v>0</v>
      </c>
      <c r="M78" s="217">
        <f t="shared" si="25"/>
        <v>0</v>
      </c>
      <c r="N78" s="217">
        <f t="shared" si="25"/>
        <v>0</v>
      </c>
      <c r="O78" s="217">
        <f t="shared" si="25"/>
        <v>0</v>
      </c>
      <c r="P78" s="217">
        <f t="shared" si="25"/>
        <v>0</v>
      </c>
      <c r="Q78" s="217">
        <f t="shared" ref="Q78" si="26">SUM(Q58:Q77)</f>
        <v>0</v>
      </c>
      <c r="R78" s="217">
        <f t="shared" si="25"/>
        <v>0</v>
      </c>
      <c r="S78" s="182"/>
      <c r="T78" s="182"/>
      <c r="U78" s="183"/>
    </row>
    <row r="79" spans="1:21" x14ac:dyDescent="0.35">
      <c r="A79" s="970"/>
      <c r="B79" s="209" t="s">
        <v>26</v>
      </c>
      <c r="C79" s="218"/>
      <c r="D79" s="217">
        <f>D78*Maksumäärad!B5</f>
        <v>0</v>
      </c>
      <c r="E79" s="217">
        <f>E78*Maksumäärad!C5</f>
        <v>0</v>
      </c>
      <c r="F79" s="217">
        <f>F78*Maksumäärad!D5</f>
        <v>0</v>
      </c>
      <c r="G79" s="217">
        <f>G78*Maksumäärad!E5</f>
        <v>0</v>
      </c>
      <c r="H79" s="217">
        <f>H78*Maksumäärad!F5</f>
        <v>0</v>
      </c>
      <c r="I79" s="217">
        <f>I78*Maksumäärad!G5</f>
        <v>0</v>
      </c>
      <c r="J79" s="217">
        <f>J78*Maksumäärad!H5</f>
        <v>0</v>
      </c>
      <c r="K79" s="217">
        <f>K78*Maksumäärad!I5</f>
        <v>0</v>
      </c>
      <c r="L79" s="217">
        <f>L78*Maksumäärad!J5</f>
        <v>0</v>
      </c>
      <c r="M79" s="217">
        <f>M78*Maksumäärad!K5</f>
        <v>0</v>
      </c>
      <c r="N79" s="217">
        <f>N78*Maksumäärad!L5</f>
        <v>0</v>
      </c>
      <c r="O79" s="217">
        <f>O78*Maksumäärad!M5</f>
        <v>0</v>
      </c>
      <c r="P79" s="217">
        <f>P78*Maksumäärad!N5</f>
        <v>0</v>
      </c>
      <c r="Q79" s="217">
        <f>Q78*Maksumäärad!O5</f>
        <v>0</v>
      </c>
      <c r="R79" s="217">
        <f>R78*Maksumäärad!P5</f>
        <v>0</v>
      </c>
      <c r="S79" s="182"/>
      <c r="T79" s="182"/>
      <c r="U79" s="183"/>
    </row>
    <row r="80" spans="1:21" x14ac:dyDescent="0.35">
      <c r="A80" s="962" t="s">
        <v>28</v>
      </c>
      <c r="B80" s="963"/>
      <c r="C80" s="219"/>
      <c r="D80" s="220">
        <f t="shared" ref="D80:R80" si="27">SUM(D78:D79)</f>
        <v>0</v>
      </c>
      <c r="E80" s="220">
        <f t="shared" si="27"/>
        <v>0</v>
      </c>
      <c r="F80" s="220">
        <f t="shared" si="27"/>
        <v>0</v>
      </c>
      <c r="G80" s="220">
        <f t="shared" si="27"/>
        <v>0</v>
      </c>
      <c r="H80" s="220">
        <f t="shared" si="27"/>
        <v>0</v>
      </c>
      <c r="I80" s="220">
        <f t="shared" si="27"/>
        <v>0</v>
      </c>
      <c r="J80" s="220">
        <f t="shared" si="27"/>
        <v>0</v>
      </c>
      <c r="K80" s="220">
        <f t="shared" si="27"/>
        <v>0</v>
      </c>
      <c r="L80" s="220">
        <f t="shared" si="27"/>
        <v>0</v>
      </c>
      <c r="M80" s="220">
        <f t="shared" si="27"/>
        <v>0</v>
      </c>
      <c r="N80" s="220">
        <f t="shared" si="27"/>
        <v>0</v>
      </c>
      <c r="O80" s="220">
        <f t="shared" si="27"/>
        <v>0</v>
      </c>
      <c r="P80" s="220">
        <f t="shared" si="27"/>
        <v>0</v>
      </c>
      <c r="Q80" s="220">
        <f t="shared" ref="Q80" si="28">SUM(Q78:Q79)</f>
        <v>0</v>
      </c>
      <c r="R80" s="220">
        <f t="shared" si="27"/>
        <v>0</v>
      </c>
      <c r="S80" s="182"/>
      <c r="T80" s="182"/>
      <c r="U80" s="183"/>
    </row>
    <row r="81" spans="1:21" ht="4.5" customHeight="1" x14ac:dyDescent="0.35">
      <c r="A81" s="157"/>
      <c r="B81" s="158"/>
      <c r="C81" s="160"/>
      <c r="D81" s="186"/>
      <c r="E81" s="186"/>
      <c r="F81" s="186"/>
      <c r="G81" s="186"/>
      <c r="H81" s="186"/>
      <c r="I81" s="186"/>
      <c r="J81" s="186"/>
      <c r="K81" s="186"/>
      <c r="L81" s="186"/>
      <c r="M81" s="186"/>
      <c r="N81" s="186"/>
      <c r="O81" s="186"/>
      <c r="P81" s="186"/>
      <c r="Q81" s="186"/>
      <c r="R81" s="187"/>
      <c r="S81" s="182"/>
      <c r="T81" s="182"/>
      <c r="U81" s="183"/>
    </row>
    <row r="82" spans="1:21" x14ac:dyDescent="0.35">
      <c r="A82" s="970" t="str">
        <f>'2. Tulud-kulud projektiga'!A82:A91</f>
        <v>Halduskulud</v>
      </c>
      <c r="B82" s="209" t="str">
        <f>'2. Tulud-kulud projektiga'!B82</f>
        <v>Küte</v>
      </c>
      <c r="C82" s="210" t="s">
        <v>3</v>
      </c>
      <c r="D82" s="171"/>
      <c r="E82" s="171"/>
      <c r="F82" s="171"/>
      <c r="G82" s="171"/>
      <c r="H82" s="171"/>
      <c r="I82" s="171"/>
      <c r="J82" s="171"/>
      <c r="K82" s="171"/>
      <c r="L82" s="171"/>
      <c r="M82" s="171"/>
      <c r="N82" s="171"/>
      <c r="O82" s="171"/>
      <c r="P82" s="171"/>
      <c r="Q82" s="171"/>
      <c r="R82" s="171"/>
      <c r="S82" s="182"/>
      <c r="T82" s="182"/>
      <c r="U82" s="183"/>
    </row>
    <row r="83" spans="1:21" x14ac:dyDescent="0.35">
      <c r="A83" s="970"/>
      <c r="B83" s="209" t="str">
        <f>'2. Tulud-kulud projektiga'!B83</f>
        <v>Valgustus</v>
      </c>
      <c r="C83" s="210" t="s">
        <v>3</v>
      </c>
      <c r="D83" s="171"/>
      <c r="E83" s="171"/>
      <c r="F83" s="171"/>
      <c r="G83" s="171"/>
      <c r="H83" s="171"/>
      <c r="I83" s="171"/>
      <c r="J83" s="171"/>
      <c r="K83" s="171"/>
      <c r="L83" s="171"/>
      <c r="M83" s="171"/>
      <c r="N83" s="171"/>
      <c r="O83" s="171"/>
      <c r="P83" s="171"/>
      <c r="Q83" s="171"/>
      <c r="R83" s="171"/>
      <c r="S83" s="182"/>
      <c r="T83" s="182"/>
      <c r="U83" s="183"/>
    </row>
    <row r="84" spans="1:21" x14ac:dyDescent="0.35">
      <c r="A84" s="970"/>
      <c r="B84" s="209" t="str">
        <f>'2. Tulud-kulud projektiga'!B84</f>
        <v>Vesi ja kanalisatsioon</v>
      </c>
      <c r="C84" s="210" t="s">
        <v>3</v>
      </c>
      <c r="D84" s="171"/>
      <c r="E84" s="171"/>
      <c r="F84" s="171"/>
      <c r="G84" s="171"/>
      <c r="H84" s="171"/>
      <c r="I84" s="171"/>
      <c r="J84" s="171"/>
      <c r="K84" s="171"/>
      <c r="L84" s="171"/>
      <c r="M84" s="171"/>
      <c r="N84" s="171"/>
      <c r="O84" s="171"/>
      <c r="P84" s="171"/>
      <c r="Q84" s="171"/>
      <c r="R84" s="171"/>
      <c r="S84" s="182"/>
      <c r="T84" s="182"/>
      <c r="U84" s="183"/>
    </row>
    <row r="85" spans="1:21" x14ac:dyDescent="0.35">
      <c r="A85" s="970"/>
      <c r="B85" s="209" t="str">
        <f>'2. Tulud-kulud projektiga'!B85</f>
        <v>Vee soojendamine</v>
      </c>
      <c r="C85" s="210" t="s">
        <v>3</v>
      </c>
      <c r="D85" s="171"/>
      <c r="E85" s="171"/>
      <c r="F85" s="171"/>
      <c r="G85" s="171"/>
      <c r="H85" s="171"/>
      <c r="I85" s="171"/>
      <c r="J85" s="171"/>
      <c r="K85" s="171"/>
      <c r="L85" s="171"/>
      <c r="M85" s="171"/>
      <c r="N85" s="171"/>
      <c r="O85" s="171"/>
      <c r="P85" s="171"/>
      <c r="Q85" s="171"/>
      <c r="R85" s="171"/>
      <c r="S85" s="182"/>
      <c r="T85" s="182"/>
      <c r="U85" s="183"/>
    </row>
    <row r="86" spans="1:21" x14ac:dyDescent="0.35">
      <c r="A86" s="970"/>
      <c r="B86" s="209" t="str">
        <f>'2. Tulud-kulud projektiga'!B86</f>
        <v>Remonditööd</v>
      </c>
      <c r="C86" s="210" t="s">
        <v>3</v>
      </c>
      <c r="D86" s="171"/>
      <c r="E86" s="171"/>
      <c r="F86" s="171"/>
      <c r="G86" s="171"/>
      <c r="H86" s="171"/>
      <c r="I86" s="171"/>
      <c r="J86" s="171"/>
      <c r="K86" s="171"/>
      <c r="L86" s="171"/>
      <c r="M86" s="171"/>
      <c r="N86" s="171"/>
      <c r="O86" s="171"/>
      <c r="P86" s="171"/>
      <c r="Q86" s="171"/>
      <c r="R86" s="171"/>
      <c r="S86" s="182"/>
      <c r="T86" s="182"/>
      <c r="U86" s="183"/>
    </row>
    <row r="87" spans="1:21" x14ac:dyDescent="0.35">
      <c r="A87" s="970"/>
      <c r="B87" s="209" t="str">
        <f>'2. Tulud-kulud projektiga'!B87</f>
        <v>Tehnohooldus</v>
      </c>
      <c r="C87" s="210" t="s">
        <v>3</v>
      </c>
      <c r="D87" s="171"/>
      <c r="E87" s="171"/>
      <c r="F87" s="171"/>
      <c r="G87" s="171"/>
      <c r="H87" s="171"/>
      <c r="I87" s="171"/>
      <c r="J87" s="171"/>
      <c r="K87" s="171"/>
      <c r="L87" s="171"/>
      <c r="M87" s="171"/>
      <c r="N87" s="171"/>
      <c r="O87" s="171"/>
      <c r="P87" s="171"/>
      <c r="Q87" s="171"/>
      <c r="R87" s="171"/>
      <c r="S87" s="182"/>
      <c r="T87" s="182"/>
      <c r="U87" s="183"/>
    </row>
    <row r="88" spans="1:21" x14ac:dyDescent="0.35">
      <c r="A88" s="970"/>
      <c r="B88" s="209" t="str">
        <f>'2. Tulud-kulud projektiga'!B88</f>
        <v>Hooldus (administratiivkorpus)</v>
      </c>
      <c r="C88" s="210" t="s">
        <v>3</v>
      </c>
      <c r="D88" s="171"/>
      <c r="E88" s="171"/>
      <c r="F88" s="171"/>
      <c r="G88" s="171"/>
      <c r="H88" s="171"/>
      <c r="I88" s="171"/>
      <c r="J88" s="171"/>
      <c r="K88" s="171"/>
      <c r="L88" s="171"/>
      <c r="M88" s="171"/>
      <c r="N88" s="171"/>
      <c r="O88" s="171"/>
      <c r="P88" s="171"/>
      <c r="Q88" s="171"/>
      <c r="R88" s="171"/>
      <c r="S88" s="182"/>
      <c r="T88" s="182"/>
      <c r="U88" s="183"/>
    </row>
    <row r="89" spans="1:21" x14ac:dyDescent="0.35">
      <c r="A89" s="970"/>
      <c r="B89" s="209" t="str">
        <f>'2. Tulud-kulud projektiga'!B89</f>
        <v>Hooldus (territoorium)</v>
      </c>
      <c r="C89" s="210" t="s">
        <v>3</v>
      </c>
      <c r="D89" s="171"/>
      <c r="E89" s="171"/>
      <c r="F89" s="171"/>
      <c r="G89" s="171"/>
      <c r="H89" s="171"/>
      <c r="I89" s="171"/>
      <c r="J89" s="171"/>
      <c r="K89" s="171"/>
      <c r="L89" s="171"/>
      <c r="M89" s="171"/>
      <c r="N89" s="171"/>
      <c r="O89" s="171"/>
      <c r="P89" s="171"/>
      <c r="Q89" s="171"/>
      <c r="R89" s="171"/>
      <c r="S89" s="182"/>
      <c r="T89" s="182"/>
      <c r="U89" s="183"/>
    </row>
    <row r="90" spans="1:21" x14ac:dyDescent="0.35">
      <c r="A90" s="970"/>
      <c r="B90" s="209" t="str">
        <f>'2. Tulud-kulud projektiga'!B90</f>
        <v>Halduskulu 9</v>
      </c>
      <c r="C90" s="210" t="s">
        <v>3</v>
      </c>
      <c r="D90" s="171"/>
      <c r="E90" s="171"/>
      <c r="F90" s="171"/>
      <c r="G90" s="171"/>
      <c r="H90" s="171"/>
      <c r="I90" s="171"/>
      <c r="J90" s="171"/>
      <c r="K90" s="171"/>
      <c r="L90" s="171"/>
      <c r="M90" s="171"/>
      <c r="N90" s="171"/>
      <c r="O90" s="171"/>
      <c r="P90" s="171"/>
      <c r="Q90" s="171"/>
      <c r="R90" s="171"/>
      <c r="S90" s="182"/>
      <c r="T90" s="182"/>
      <c r="U90" s="183"/>
    </row>
    <row r="91" spans="1:21" x14ac:dyDescent="0.35">
      <c r="A91" s="970"/>
      <c r="B91" s="209" t="str">
        <f>'2. Tulud-kulud projektiga'!B91</f>
        <v>Halduskulu 10</v>
      </c>
      <c r="C91" s="210" t="s">
        <v>3</v>
      </c>
      <c r="D91" s="171"/>
      <c r="E91" s="171"/>
      <c r="F91" s="171"/>
      <c r="G91" s="171"/>
      <c r="H91" s="171"/>
      <c r="I91" s="171"/>
      <c r="J91" s="171"/>
      <c r="K91" s="171"/>
      <c r="L91" s="171"/>
      <c r="M91" s="171"/>
      <c r="N91" s="171"/>
      <c r="O91" s="171"/>
      <c r="P91" s="171"/>
      <c r="Q91" s="171"/>
      <c r="R91" s="171"/>
      <c r="S91" s="182"/>
      <c r="T91" s="182"/>
      <c r="U91" s="183"/>
    </row>
    <row r="92" spans="1:21" x14ac:dyDescent="0.35">
      <c r="A92" s="962" t="str">
        <f>'2. Tulud-kulud projektiga'!A92:B92</f>
        <v>Halduskulud kokku</v>
      </c>
      <c r="B92" s="963"/>
      <c r="C92" s="219"/>
      <c r="D92" s="220">
        <f t="shared" ref="D92:R92" si="29">SUM(D82:D91)</f>
        <v>0</v>
      </c>
      <c r="E92" s="220">
        <f t="shared" si="29"/>
        <v>0</v>
      </c>
      <c r="F92" s="220">
        <f t="shared" si="29"/>
        <v>0</v>
      </c>
      <c r="G92" s="220">
        <f t="shared" si="29"/>
        <v>0</v>
      </c>
      <c r="H92" s="220">
        <f t="shared" si="29"/>
        <v>0</v>
      </c>
      <c r="I92" s="220">
        <f t="shared" si="29"/>
        <v>0</v>
      </c>
      <c r="J92" s="220">
        <f t="shared" si="29"/>
        <v>0</v>
      </c>
      <c r="K92" s="220">
        <f t="shared" si="29"/>
        <v>0</v>
      </c>
      <c r="L92" s="220">
        <f t="shared" si="29"/>
        <v>0</v>
      </c>
      <c r="M92" s="220">
        <f t="shared" si="29"/>
        <v>0</v>
      </c>
      <c r="N92" s="220">
        <f t="shared" si="29"/>
        <v>0</v>
      </c>
      <c r="O92" s="220">
        <f t="shared" si="29"/>
        <v>0</v>
      </c>
      <c r="P92" s="220">
        <f t="shared" si="29"/>
        <v>0</v>
      </c>
      <c r="Q92" s="220">
        <f t="shared" si="29"/>
        <v>0</v>
      </c>
      <c r="R92" s="220">
        <f t="shared" si="29"/>
        <v>0</v>
      </c>
      <c r="S92" s="182"/>
      <c r="T92" s="182"/>
      <c r="U92" s="183"/>
    </row>
    <row r="93" spans="1:21" ht="4.5" customHeight="1" x14ac:dyDescent="0.35">
      <c r="A93" s="157"/>
      <c r="B93" s="158"/>
      <c r="C93" s="160"/>
      <c r="D93" s="186"/>
      <c r="E93" s="186"/>
      <c r="F93" s="186"/>
      <c r="G93" s="186"/>
      <c r="H93" s="186"/>
      <c r="I93" s="186"/>
      <c r="J93" s="186"/>
      <c r="K93" s="186"/>
      <c r="L93" s="186"/>
      <c r="M93" s="186"/>
      <c r="N93" s="186"/>
      <c r="O93" s="186"/>
      <c r="P93" s="186"/>
      <c r="Q93" s="186"/>
      <c r="R93" s="187"/>
      <c r="S93" s="182"/>
      <c r="T93" s="182"/>
      <c r="U93" s="183"/>
    </row>
    <row r="94" spans="1:21" x14ac:dyDescent="0.35">
      <c r="A94" s="971" t="str">
        <f>'2. Tulud-kulud projektiga'!A94:A103</f>
        <v>Turunduskulud</v>
      </c>
      <c r="B94" s="209" t="str">
        <f>'2. Tulud-kulud projektiga'!B94</f>
        <v>Turunduskulud</v>
      </c>
      <c r="C94" s="210" t="s">
        <v>3</v>
      </c>
      <c r="D94" s="171"/>
      <c r="E94" s="171"/>
      <c r="F94" s="171"/>
      <c r="G94" s="171"/>
      <c r="H94" s="171"/>
      <c r="I94" s="171"/>
      <c r="J94" s="171"/>
      <c r="K94" s="171"/>
      <c r="L94" s="171"/>
      <c r="M94" s="171"/>
      <c r="N94" s="171"/>
      <c r="O94" s="171"/>
      <c r="P94" s="171"/>
      <c r="Q94" s="171"/>
      <c r="R94" s="171"/>
      <c r="S94" s="182"/>
      <c r="T94" s="182"/>
      <c r="U94" s="183"/>
    </row>
    <row r="95" spans="1:21" x14ac:dyDescent="0.35">
      <c r="A95" s="972"/>
      <c r="B95" s="209">
        <f>'2. Tulud-kulud projektiga'!B95</f>
        <v>0</v>
      </c>
      <c r="C95" s="210" t="s">
        <v>3</v>
      </c>
      <c r="D95" s="171"/>
      <c r="E95" s="171"/>
      <c r="F95" s="171"/>
      <c r="G95" s="171"/>
      <c r="H95" s="171"/>
      <c r="I95" s="171"/>
      <c r="J95" s="171"/>
      <c r="K95" s="171"/>
      <c r="L95" s="171"/>
      <c r="M95" s="171"/>
      <c r="N95" s="171"/>
      <c r="O95" s="171"/>
      <c r="P95" s="171"/>
      <c r="Q95" s="171"/>
      <c r="R95" s="171"/>
      <c r="S95" s="182"/>
      <c r="T95" s="182"/>
      <c r="U95" s="183"/>
    </row>
    <row r="96" spans="1:21" x14ac:dyDescent="0.35">
      <c r="A96" s="972"/>
      <c r="B96" s="209">
        <f>'2. Tulud-kulud projektiga'!B96</f>
        <v>0</v>
      </c>
      <c r="C96" s="210" t="s">
        <v>3</v>
      </c>
      <c r="D96" s="171"/>
      <c r="E96" s="171"/>
      <c r="F96" s="171"/>
      <c r="G96" s="171"/>
      <c r="H96" s="171"/>
      <c r="I96" s="171"/>
      <c r="J96" s="171"/>
      <c r="K96" s="171"/>
      <c r="L96" s="171"/>
      <c r="M96" s="171"/>
      <c r="N96" s="171"/>
      <c r="O96" s="171"/>
      <c r="P96" s="171"/>
      <c r="Q96" s="171"/>
      <c r="R96" s="171"/>
      <c r="S96" s="182"/>
      <c r="T96" s="182"/>
      <c r="U96" s="183"/>
    </row>
    <row r="97" spans="1:21" x14ac:dyDescent="0.35">
      <c r="A97" s="972"/>
      <c r="B97" s="209">
        <f>'2. Tulud-kulud projektiga'!B97</f>
        <v>0</v>
      </c>
      <c r="C97" s="210" t="s">
        <v>3</v>
      </c>
      <c r="D97" s="171"/>
      <c r="E97" s="171"/>
      <c r="F97" s="171"/>
      <c r="G97" s="171"/>
      <c r="H97" s="171"/>
      <c r="I97" s="171"/>
      <c r="J97" s="171"/>
      <c r="K97" s="171"/>
      <c r="L97" s="171"/>
      <c r="M97" s="171"/>
      <c r="N97" s="171"/>
      <c r="O97" s="171"/>
      <c r="P97" s="171"/>
      <c r="Q97" s="171"/>
      <c r="R97" s="171"/>
      <c r="S97" s="182"/>
      <c r="T97" s="182"/>
      <c r="U97" s="183"/>
    </row>
    <row r="98" spans="1:21" x14ac:dyDescent="0.35">
      <c r="A98" s="972"/>
      <c r="B98" s="209" t="str">
        <f>'2. Tulud-kulud projektiga'!B98</f>
        <v>Kulu 5</v>
      </c>
      <c r="C98" s="210"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972"/>
      <c r="B99" s="209" t="str">
        <f>'2. Tulud-kulud projektiga'!B99</f>
        <v>Kulu 6</v>
      </c>
      <c r="C99" s="210"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972"/>
      <c r="B100" s="209" t="str">
        <f>'2. Tulud-kulud projektiga'!B100</f>
        <v>Kulu 7</v>
      </c>
      <c r="C100" s="210"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972"/>
      <c r="B101" s="209" t="str">
        <f>'2. Tulud-kulud projektiga'!B101</f>
        <v>Kulu 8</v>
      </c>
      <c r="C101" s="210"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972"/>
      <c r="B102" s="209" t="str">
        <f>'2. Tulud-kulud projektiga'!B102</f>
        <v>Kulu 9</v>
      </c>
      <c r="C102" s="210"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973"/>
      <c r="B103" s="209" t="str">
        <f>'2. Tulud-kulud projektiga'!B103</f>
        <v>Kulu 10</v>
      </c>
      <c r="C103" s="210"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collapsed="1" x14ac:dyDescent="0.35">
      <c r="A104" s="962" t="str">
        <f>'2. Tulud-kulud projektiga'!A104:B104</f>
        <v>Turunduskulud kokku</v>
      </c>
      <c r="B104" s="963"/>
      <c r="C104" s="219"/>
      <c r="D104" s="220">
        <f t="shared" ref="D104:R104" si="30">SUM(D94:D103)</f>
        <v>0</v>
      </c>
      <c r="E104" s="220">
        <f t="shared" si="30"/>
        <v>0</v>
      </c>
      <c r="F104" s="220">
        <f t="shared" si="30"/>
        <v>0</v>
      </c>
      <c r="G104" s="220">
        <f t="shared" si="30"/>
        <v>0</v>
      </c>
      <c r="H104" s="220">
        <f t="shared" si="30"/>
        <v>0</v>
      </c>
      <c r="I104" s="220">
        <f t="shared" si="30"/>
        <v>0</v>
      </c>
      <c r="J104" s="220">
        <f t="shared" si="30"/>
        <v>0</v>
      </c>
      <c r="K104" s="220">
        <f t="shared" si="30"/>
        <v>0</v>
      </c>
      <c r="L104" s="220">
        <f t="shared" si="30"/>
        <v>0</v>
      </c>
      <c r="M104" s="220">
        <f t="shared" si="30"/>
        <v>0</v>
      </c>
      <c r="N104" s="220">
        <f t="shared" si="30"/>
        <v>0</v>
      </c>
      <c r="O104" s="220">
        <f t="shared" si="30"/>
        <v>0</v>
      </c>
      <c r="P104" s="220">
        <f t="shared" si="30"/>
        <v>0</v>
      </c>
      <c r="Q104" s="220">
        <f t="shared" si="30"/>
        <v>0</v>
      </c>
      <c r="R104" s="220">
        <f t="shared" si="30"/>
        <v>0</v>
      </c>
      <c r="S104" s="188"/>
      <c r="T104" s="188"/>
      <c r="U104" s="189"/>
    </row>
    <row r="105" spans="1:21" ht="4.5" customHeight="1" x14ac:dyDescent="0.35">
      <c r="A105" s="157"/>
      <c r="B105" s="158"/>
      <c r="C105" s="160"/>
      <c r="D105" s="186"/>
      <c r="E105" s="186"/>
      <c r="F105" s="186"/>
      <c r="G105" s="186"/>
      <c r="H105" s="186"/>
      <c r="I105" s="186"/>
      <c r="J105" s="186"/>
      <c r="K105" s="186"/>
      <c r="L105" s="186"/>
      <c r="M105" s="186"/>
      <c r="N105" s="186"/>
      <c r="O105" s="186"/>
      <c r="P105" s="186"/>
      <c r="Q105" s="186"/>
      <c r="R105" s="187"/>
      <c r="S105" s="182"/>
      <c r="T105" s="182"/>
      <c r="U105" s="183"/>
    </row>
    <row r="106" spans="1:21" ht="16.5" customHeight="1" x14ac:dyDescent="0.35">
      <c r="A106" s="961" t="str">
        <f>'2. Tulud-kulud projektiga'!A106:B106</f>
        <v>Valve</v>
      </c>
      <c r="B106" s="961"/>
      <c r="C106" s="210" t="s">
        <v>3</v>
      </c>
      <c r="D106" s="171"/>
      <c r="E106" s="171"/>
      <c r="F106" s="171"/>
      <c r="G106" s="171"/>
      <c r="H106" s="171"/>
      <c r="I106" s="171"/>
      <c r="J106" s="171"/>
      <c r="K106" s="171"/>
      <c r="L106" s="171"/>
      <c r="M106" s="171"/>
      <c r="N106" s="171"/>
      <c r="O106" s="171"/>
      <c r="P106" s="171"/>
      <c r="Q106" s="171"/>
      <c r="R106" s="171"/>
      <c r="S106" s="182"/>
      <c r="T106" s="182"/>
      <c r="U106" s="183"/>
    </row>
    <row r="107" spans="1:21" ht="16.5" customHeight="1" x14ac:dyDescent="0.35">
      <c r="A107" s="961" t="str">
        <f>'2. Tulud-kulud projektiga'!A107:B107</f>
        <v>Kindlustus</v>
      </c>
      <c r="B107" s="961"/>
      <c r="C107" s="210" t="s">
        <v>3</v>
      </c>
      <c r="D107" s="171"/>
      <c r="E107" s="171"/>
      <c r="F107" s="171"/>
      <c r="G107" s="171"/>
      <c r="H107" s="171"/>
      <c r="I107" s="171"/>
      <c r="J107" s="171"/>
      <c r="K107" s="171"/>
      <c r="L107" s="171"/>
      <c r="M107" s="171"/>
      <c r="N107" s="171"/>
      <c r="O107" s="171"/>
      <c r="P107" s="171"/>
      <c r="Q107" s="171"/>
      <c r="R107" s="171"/>
      <c r="S107" s="182"/>
      <c r="T107" s="182"/>
      <c r="U107" s="183"/>
    </row>
    <row r="108" spans="1:21" ht="16.5" customHeight="1" x14ac:dyDescent="0.35">
      <c r="A108" s="961" t="str">
        <f>'2. Tulud-kulud projektiga'!A108:B108</f>
        <v>Muu</v>
      </c>
      <c r="B108" s="961"/>
      <c r="C108" s="210" t="s">
        <v>3</v>
      </c>
      <c r="D108" s="171"/>
      <c r="E108" s="171"/>
      <c r="F108" s="171"/>
      <c r="G108" s="171"/>
      <c r="H108" s="171"/>
      <c r="I108" s="171"/>
      <c r="J108" s="171"/>
      <c r="K108" s="171"/>
      <c r="L108" s="171"/>
      <c r="M108" s="171"/>
      <c r="N108" s="171"/>
      <c r="O108" s="171"/>
      <c r="P108" s="171"/>
      <c r="Q108" s="171"/>
      <c r="R108" s="171"/>
      <c r="S108" s="182"/>
      <c r="T108" s="182"/>
      <c r="U108" s="183"/>
    </row>
    <row r="109" spans="1:21" ht="16.5" customHeight="1" x14ac:dyDescent="0.35">
      <c r="A109" s="961" t="str">
        <f>'2. Tulud-kulud projektiga'!A109:B109</f>
        <v>Muu kulu 4</v>
      </c>
      <c r="B109" s="961"/>
      <c r="C109" s="210" t="s">
        <v>3</v>
      </c>
      <c r="D109" s="171"/>
      <c r="E109" s="171"/>
      <c r="F109" s="171"/>
      <c r="G109" s="171"/>
      <c r="H109" s="171"/>
      <c r="I109" s="171"/>
      <c r="J109" s="171"/>
      <c r="K109" s="171"/>
      <c r="L109" s="171"/>
      <c r="M109" s="171"/>
      <c r="N109" s="171"/>
      <c r="O109" s="171"/>
      <c r="P109" s="171"/>
      <c r="Q109" s="171"/>
      <c r="R109" s="171"/>
      <c r="S109" s="182"/>
      <c r="T109" s="182"/>
      <c r="U109" s="183"/>
    </row>
    <row r="110" spans="1:21" ht="16.5" customHeight="1" x14ac:dyDescent="0.35">
      <c r="A110" s="961" t="str">
        <f>'2. Tulud-kulud projektiga'!A110:B110</f>
        <v>Muu kulu 5</v>
      </c>
      <c r="B110" s="961"/>
      <c r="C110" s="210"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961" t="str">
        <f>'2. Tulud-kulud projektiga'!A111:B111</f>
        <v>Muu kulu 6</v>
      </c>
      <c r="B111" s="961"/>
      <c r="C111" s="210"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961" t="str">
        <f>'2. Tulud-kulud projektiga'!A112:B112</f>
        <v>Muu kulu 7</v>
      </c>
      <c r="B112" s="961"/>
      <c r="C112" s="210"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961" t="str">
        <f>'2. Tulud-kulud projektiga'!A113:B113</f>
        <v>Muu kulu 8</v>
      </c>
      <c r="B113" s="961"/>
      <c r="C113" s="210"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961" t="str">
        <f>'2. Tulud-kulud projektiga'!A114:B114</f>
        <v>Muu kulu 9</v>
      </c>
      <c r="B114" s="961"/>
      <c r="C114" s="210"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961" t="str">
        <f>'2. Tulud-kulud projektiga'!A115:B115</f>
        <v>Muu kulu 10</v>
      </c>
      <c r="B115" s="961"/>
      <c r="C115" s="210"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collapsed="1" x14ac:dyDescent="0.35">
      <c r="A116" s="962" t="str">
        <f>'2. Tulud-kulud projektiga'!A116:B116</f>
        <v>Muud kulud kokku</v>
      </c>
      <c r="B116" s="963"/>
      <c r="C116" s="215" t="s">
        <v>3</v>
      </c>
      <c r="D116" s="220">
        <f t="shared" ref="D116:R116" si="31">SUM(D106:D115)</f>
        <v>0</v>
      </c>
      <c r="E116" s="220">
        <f t="shared" si="31"/>
        <v>0</v>
      </c>
      <c r="F116" s="220">
        <f t="shared" si="31"/>
        <v>0</v>
      </c>
      <c r="G116" s="220">
        <f t="shared" si="31"/>
        <v>0</v>
      </c>
      <c r="H116" s="220">
        <f t="shared" si="31"/>
        <v>0</v>
      </c>
      <c r="I116" s="220">
        <f t="shared" si="31"/>
        <v>0</v>
      </c>
      <c r="J116" s="220">
        <f t="shared" si="31"/>
        <v>0</v>
      </c>
      <c r="K116" s="220">
        <f t="shared" si="31"/>
        <v>0</v>
      </c>
      <c r="L116" s="220">
        <f t="shared" si="31"/>
        <v>0</v>
      </c>
      <c r="M116" s="220">
        <f t="shared" si="31"/>
        <v>0</v>
      </c>
      <c r="N116" s="220">
        <f t="shared" si="31"/>
        <v>0</v>
      </c>
      <c r="O116" s="220">
        <f t="shared" si="31"/>
        <v>0</v>
      </c>
      <c r="P116" s="220">
        <f t="shared" si="31"/>
        <v>0</v>
      </c>
      <c r="Q116" s="220">
        <f t="shared" ref="Q116" si="32">SUM(Q106:Q115)</f>
        <v>0</v>
      </c>
      <c r="R116" s="220">
        <f t="shared" si="31"/>
        <v>0</v>
      </c>
      <c r="S116" s="188"/>
      <c r="T116" s="188"/>
      <c r="U116" s="189"/>
    </row>
    <row r="117" spans="1:21" ht="4.5" customHeight="1" x14ac:dyDescent="0.35">
      <c r="A117" s="157"/>
      <c r="B117" s="158"/>
      <c r="C117" s="160"/>
      <c r="D117" s="186"/>
      <c r="E117" s="186"/>
      <c r="F117" s="186"/>
      <c r="G117" s="186"/>
      <c r="H117" s="186"/>
      <c r="I117" s="186"/>
      <c r="J117" s="186"/>
      <c r="K117" s="186"/>
      <c r="L117" s="186"/>
      <c r="M117" s="186"/>
      <c r="N117" s="186"/>
      <c r="O117" s="186"/>
      <c r="P117" s="186"/>
      <c r="Q117" s="186"/>
      <c r="R117" s="187"/>
      <c r="S117" s="182"/>
      <c r="T117" s="182"/>
      <c r="U117" s="183"/>
    </row>
    <row r="118" spans="1:21" s="179" customFormat="1" ht="19.5" customHeight="1" x14ac:dyDescent="0.35">
      <c r="A118" s="964" t="s">
        <v>43</v>
      </c>
      <c r="B118" s="965"/>
      <c r="C118" s="221" t="s">
        <v>3</v>
      </c>
      <c r="D118" s="216">
        <f t="shared" ref="D118:R118" si="33">D80+D92+D104+D116</f>
        <v>0</v>
      </c>
      <c r="E118" s="216">
        <f t="shared" si="33"/>
        <v>0</v>
      </c>
      <c r="F118" s="216">
        <f t="shared" si="33"/>
        <v>0</v>
      </c>
      <c r="G118" s="216">
        <f t="shared" si="33"/>
        <v>0</v>
      </c>
      <c r="H118" s="216">
        <f t="shared" si="33"/>
        <v>0</v>
      </c>
      <c r="I118" s="216">
        <f t="shared" si="33"/>
        <v>0</v>
      </c>
      <c r="J118" s="216">
        <f t="shared" si="33"/>
        <v>0</v>
      </c>
      <c r="K118" s="216">
        <f t="shared" si="33"/>
        <v>0</v>
      </c>
      <c r="L118" s="216">
        <f t="shared" si="33"/>
        <v>0</v>
      </c>
      <c r="M118" s="216">
        <f t="shared" si="33"/>
        <v>0</v>
      </c>
      <c r="N118" s="216">
        <f t="shared" si="33"/>
        <v>0</v>
      </c>
      <c r="O118" s="216">
        <f t="shared" si="33"/>
        <v>0</v>
      </c>
      <c r="P118" s="216">
        <f t="shared" si="33"/>
        <v>0</v>
      </c>
      <c r="Q118" s="216">
        <f t="shared" ref="Q118" si="34">Q80+Q92+Q104+Q116</f>
        <v>0</v>
      </c>
      <c r="R118" s="216">
        <f t="shared" si="33"/>
        <v>0</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946" t="s">
        <v>44</v>
      </c>
      <c r="B121" s="947"/>
      <c r="C121" s="196" t="s">
        <v>3</v>
      </c>
      <c r="D121" s="197">
        <f t="shared" ref="D121:R121" si="35">D53-D118</f>
        <v>0</v>
      </c>
      <c r="E121" s="197">
        <f t="shared" si="35"/>
        <v>0</v>
      </c>
      <c r="F121" s="197">
        <f t="shared" si="35"/>
        <v>0</v>
      </c>
      <c r="G121" s="197">
        <f t="shared" si="35"/>
        <v>0</v>
      </c>
      <c r="H121" s="197">
        <f t="shared" si="35"/>
        <v>0</v>
      </c>
      <c r="I121" s="197">
        <f t="shared" si="35"/>
        <v>0</v>
      </c>
      <c r="J121" s="197">
        <f t="shared" si="35"/>
        <v>0</v>
      </c>
      <c r="K121" s="197">
        <f t="shared" si="35"/>
        <v>0</v>
      </c>
      <c r="L121" s="197">
        <f t="shared" si="35"/>
        <v>0</v>
      </c>
      <c r="M121" s="197">
        <f t="shared" si="35"/>
        <v>0</v>
      </c>
      <c r="N121" s="197">
        <f t="shared" si="35"/>
        <v>0</v>
      </c>
      <c r="O121" s="197">
        <f t="shared" si="35"/>
        <v>0</v>
      </c>
      <c r="P121" s="197">
        <f t="shared" si="35"/>
        <v>0</v>
      </c>
      <c r="Q121" s="197">
        <f t="shared" ref="Q121" si="36">Q53-Q118</f>
        <v>0</v>
      </c>
      <c r="R121" s="197">
        <f t="shared" si="35"/>
        <v>0</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5.5" x14ac:dyDescent="0.35">
      <c r="A124" s="946" t="s">
        <v>188</v>
      </c>
      <c r="B124" s="947"/>
      <c r="C124" s="196" t="s">
        <v>3</v>
      </c>
      <c r="D124" s="197">
        <f>D121</f>
        <v>0</v>
      </c>
      <c r="E124" s="197">
        <f>D124+E121</f>
        <v>0</v>
      </c>
      <c r="F124" s="197">
        <f t="shared" ref="F124:P124" si="37">E124+F121</f>
        <v>0</v>
      </c>
      <c r="G124" s="197">
        <f t="shared" si="37"/>
        <v>0</v>
      </c>
      <c r="H124" s="197">
        <f t="shared" si="37"/>
        <v>0</v>
      </c>
      <c r="I124" s="197">
        <f t="shared" si="37"/>
        <v>0</v>
      </c>
      <c r="J124" s="197">
        <f t="shared" si="37"/>
        <v>0</v>
      </c>
      <c r="K124" s="197">
        <f t="shared" si="37"/>
        <v>0</v>
      </c>
      <c r="L124" s="197">
        <f t="shared" si="37"/>
        <v>0</v>
      </c>
      <c r="M124" s="197">
        <f t="shared" si="37"/>
        <v>0</v>
      </c>
      <c r="N124" s="197">
        <f t="shared" si="37"/>
        <v>0</v>
      </c>
      <c r="O124" s="197">
        <f t="shared" si="37"/>
        <v>0</v>
      </c>
      <c r="P124" s="197">
        <f t="shared" si="37"/>
        <v>0</v>
      </c>
      <c r="Q124" s="197">
        <f t="shared" ref="Q124" si="38">P124+Q121</f>
        <v>0</v>
      </c>
      <c r="R124" s="197">
        <f t="shared" ref="R124" si="39">Q124+R121</f>
        <v>0</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U582"/>
  <sheetViews>
    <sheetView showGridLines="0" zoomScaleNormal="100" workbookViewId="0">
      <pane xSplit="3" ySplit="4" topLeftCell="D116" activePane="bottomRight" state="frozen"/>
      <selection activeCell="AU65" sqref="AU65"/>
      <selection pane="topRight" activeCell="AU65" sqref="AU65"/>
      <selection pane="bottomLeft" activeCell="AU65" sqref="AU65"/>
      <selection pane="bottomRight" activeCell="A109" sqref="A109:B109"/>
    </sheetView>
  </sheetViews>
  <sheetFormatPr defaultColWidth="9.1796875" defaultRowHeight="14.5" outlineLevelRow="1" x14ac:dyDescent="0.35"/>
  <cols>
    <col min="1" max="1" width="20.54296875" style="1" customWidth="1"/>
    <col min="2" max="2" width="19.453125" style="23" customWidth="1"/>
    <col min="3" max="3" width="7.453125" style="1" customWidth="1"/>
    <col min="4" max="18" width="10.26953125" style="1" customWidth="1"/>
    <col min="19" max="16384" width="9.1796875" style="1"/>
  </cols>
  <sheetData>
    <row r="1" spans="1:20" s="36" customFormat="1" ht="22.5" customHeight="1" x14ac:dyDescent="0.35">
      <c r="A1" s="37" t="s">
        <v>85</v>
      </c>
      <c r="B1" s="35"/>
    </row>
    <row r="2" spans="1:20" s="42" customFormat="1" ht="15.75" customHeight="1" x14ac:dyDescent="0.35">
      <c r="A2" s="38"/>
      <c r="B2" s="39"/>
      <c r="C2" s="40"/>
      <c r="D2" s="41"/>
      <c r="E2" s="41"/>
      <c r="F2" s="41"/>
      <c r="G2" s="41"/>
      <c r="H2" s="41"/>
      <c r="I2" s="41"/>
      <c r="J2" s="41"/>
      <c r="K2" s="41"/>
      <c r="L2" s="41"/>
      <c r="M2" s="41"/>
      <c r="N2" s="41"/>
      <c r="O2" s="41"/>
      <c r="P2" s="41"/>
      <c r="Q2" s="41"/>
      <c r="R2" s="41"/>
      <c r="S2" s="40"/>
      <c r="T2" s="40"/>
    </row>
    <row r="3" spans="1:20" s="42" customFormat="1" ht="18" customHeight="1" x14ac:dyDescent="0.35">
      <c r="A3" s="43"/>
      <c r="B3" s="44"/>
      <c r="C3" s="45"/>
      <c r="D3" s="46">
        <f>'2. Tulud-kulud projektiga'!D3</f>
        <v>2023</v>
      </c>
      <c r="E3" s="46">
        <f>D3+1</f>
        <v>2024</v>
      </c>
      <c r="F3" s="46">
        <f t="shared" ref="F3:L3" si="0">E3+1</f>
        <v>2025</v>
      </c>
      <c r="G3" s="46">
        <f t="shared" si="0"/>
        <v>2026</v>
      </c>
      <c r="H3" s="46">
        <f t="shared" si="0"/>
        <v>2027</v>
      </c>
      <c r="I3" s="46">
        <f t="shared" si="0"/>
        <v>2028</v>
      </c>
      <c r="J3" s="46">
        <f t="shared" si="0"/>
        <v>2029</v>
      </c>
      <c r="K3" s="46">
        <f t="shared" si="0"/>
        <v>2030</v>
      </c>
      <c r="L3" s="46">
        <f t="shared" si="0"/>
        <v>2031</v>
      </c>
      <c r="M3" s="46">
        <f t="shared" ref="M3:P3" si="1">L3+1</f>
        <v>2032</v>
      </c>
      <c r="N3" s="46">
        <f t="shared" si="1"/>
        <v>2033</v>
      </c>
      <c r="O3" s="46">
        <f t="shared" si="1"/>
        <v>2034</v>
      </c>
      <c r="P3" s="46">
        <f t="shared" si="1"/>
        <v>2035</v>
      </c>
      <c r="Q3" s="46">
        <f t="shared" ref="Q3" si="2">P3+1</f>
        <v>2036</v>
      </c>
      <c r="R3" s="46">
        <f t="shared" ref="R3" si="3">Q3+1</f>
        <v>2037</v>
      </c>
      <c r="S3" s="40"/>
      <c r="T3" s="40"/>
    </row>
    <row r="4" spans="1:20" ht="4.5" customHeight="1" x14ac:dyDescent="0.35">
      <c r="A4" s="4"/>
      <c r="B4" s="25"/>
      <c r="C4" s="32"/>
      <c r="D4" s="33"/>
      <c r="E4" s="33"/>
      <c r="F4" s="33"/>
      <c r="G4" s="33"/>
      <c r="H4" s="33"/>
      <c r="I4" s="33"/>
      <c r="J4" s="33"/>
      <c r="K4" s="33"/>
      <c r="L4" s="33"/>
      <c r="M4" s="33"/>
      <c r="N4" s="33"/>
      <c r="O4" s="33"/>
      <c r="P4" s="33"/>
      <c r="Q4" s="33"/>
      <c r="R4" s="34"/>
      <c r="S4" s="7"/>
      <c r="T4" s="7"/>
    </row>
    <row r="5" spans="1:20" ht="18" customHeight="1" x14ac:dyDescent="0.35">
      <c r="A5" s="31" t="s">
        <v>74</v>
      </c>
      <c r="B5" s="27"/>
      <c r="C5" s="28" t="s">
        <v>2</v>
      </c>
      <c r="D5" s="29"/>
      <c r="E5" s="29"/>
      <c r="F5" s="29"/>
      <c r="G5" s="29"/>
      <c r="H5" s="29"/>
      <c r="I5" s="29"/>
      <c r="J5" s="29"/>
      <c r="K5" s="29"/>
      <c r="L5" s="29"/>
      <c r="M5" s="29"/>
      <c r="N5" s="29"/>
      <c r="O5" s="29"/>
      <c r="P5" s="29"/>
      <c r="Q5" s="29"/>
      <c r="R5" s="30"/>
      <c r="S5" s="7"/>
      <c r="T5" s="7"/>
    </row>
    <row r="6" spans="1:20" ht="4.5" customHeight="1" x14ac:dyDescent="0.35">
      <c r="A6" s="4"/>
      <c r="B6" s="25"/>
      <c r="C6" s="9"/>
      <c r="D6" s="9"/>
      <c r="E6" s="9"/>
      <c r="F6" s="9"/>
      <c r="G6" s="9"/>
      <c r="H6" s="9"/>
      <c r="I6" s="9"/>
      <c r="J6" s="9"/>
      <c r="K6" s="9"/>
      <c r="L6" s="9"/>
      <c r="M6" s="9"/>
      <c r="N6" s="9"/>
      <c r="O6" s="9"/>
      <c r="P6" s="9"/>
      <c r="Q6" s="9"/>
      <c r="R6" s="10"/>
      <c r="S6" s="7"/>
      <c r="T6" s="7"/>
    </row>
    <row r="7" spans="1:20" ht="15.75" customHeight="1" x14ac:dyDescent="0.35">
      <c r="A7" s="985" t="str">
        <f>'2. Tulud-kulud projektiga'!A7:A9</f>
        <v>Üüritulu tootmispindadelt</v>
      </c>
      <c r="B7" s="50" t="str">
        <f>'2. Tulud-kulud projektiga'!B7</f>
        <v>Ühik 1</v>
      </c>
      <c r="C7" s="51" t="str">
        <f>'2. Tulud-kulud projektiga'!C7</f>
        <v>m2</v>
      </c>
      <c r="D7" s="11">
        <f>'2. Tulud-kulud projektiga'!D7-'3. Tulud-kulud projektita'!D7</f>
        <v>0</v>
      </c>
      <c r="E7" s="11">
        <f>'2. Tulud-kulud projektiga'!E7-'3. Tulud-kulud projektita'!E7</f>
        <v>0</v>
      </c>
      <c r="F7" s="11">
        <f>'2. Tulud-kulud projektiga'!F7-'3. Tulud-kulud projektita'!F7</f>
        <v>2946.4500000000016</v>
      </c>
      <c r="G7" s="11">
        <f>'2. Tulud-kulud projektiga'!G7-'3. Tulud-kulud projektita'!G7</f>
        <v>2946.4500000000016</v>
      </c>
      <c r="H7" s="11">
        <f>'2. Tulud-kulud projektiga'!H7-'3. Tulud-kulud projektita'!H7</f>
        <v>2946.4500000000016</v>
      </c>
      <c r="I7" s="11">
        <f>'2. Tulud-kulud projektiga'!I7-'3. Tulud-kulud projektita'!I7</f>
        <v>2946.4500000000016</v>
      </c>
      <c r="J7" s="11">
        <f>'2. Tulud-kulud projektiga'!J7-'3. Tulud-kulud projektita'!J7</f>
        <v>2946.4500000000016</v>
      </c>
      <c r="K7" s="11">
        <f>'2. Tulud-kulud projektiga'!K7-'3. Tulud-kulud projektita'!K7</f>
        <v>2946.4500000000016</v>
      </c>
      <c r="L7" s="11">
        <f>'2. Tulud-kulud projektiga'!L7-'3. Tulud-kulud projektita'!L7</f>
        <v>2946.4500000000016</v>
      </c>
      <c r="M7" s="11">
        <f>'2. Tulud-kulud projektiga'!M7-'3. Tulud-kulud projektita'!M7</f>
        <v>2946.4500000000016</v>
      </c>
      <c r="N7" s="11">
        <f>'2. Tulud-kulud projektiga'!N7-'3. Tulud-kulud projektita'!N7</f>
        <v>2946.4500000000016</v>
      </c>
      <c r="O7" s="11">
        <f>'2. Tulud-kulud projektiga'!O7-'3. Tulud-kulud projektita'!O7</f>
        <v>2946.4500000000016</v>
      </c>
      <c r="P7" s="11">
        <f>'2. Tulud-kulud projektiga'!P7-'3. Tulud-kulud projektita'!P7</f>
        <v>2946.4500000000016</v>
      </c>
      <c r="Q7" s="11">
        <f>'2. Tulud-kulud projektiga'!Q7-'3. Tulud-kulud projektita'!Q7</f>
        <v>2946.4500000000016</v>
      </c>
      <c r="R7" s="11">
        <f>'2. Tulud-kulud projektiga'!R7-'3. Tulud-kulud projektita'!R7</f>
        <v>2946.4500000000016</v>
      </c>
      <c r="S7" s="7"/>
      <c r="T7" s="7"/>
    </row>
    <row r="8" spans="1:20" ht="15.75" customHeight="1" x14ac:dyDescent="0.35">
      <c r="A8" s="985"/>
      <c r="B8" s="50" t="s">
        <v>0</v>
      </c>
      <c r="C8" s="51" t="s">
        <v>3</v>
      </c>
      <c r="D8" s="11">
        <f>'2. Tulud-kulud projektiga'!D8-'3. Tulud-kulud projektita'!D8</f>
        <v>0</v>
      </c>
      <c r="E8" s="11">
        <f>'2. Tulud-kulud projektiga'!E8-'3. Tulud-kulud projektita'!E8</f>
        <v>0</v>
      </c>
      <c r="F8" s="11">
        <f>'2. Tulud-kulud projektiga'!F8-'3. Tulud-kulud projektita'!F8</f>
        <v>60</v>
      </c>
      <c r="G8" s="11">
        <f>'2. Tulud-kulud projektiga'!G8-'3. Tulud-kulud projektita'!G8</f>
        <v>60</v>
      </c>
      <c r="H8" s="11">
        <f>'2. Tulud-kulud projektiga'!H8-'3. Tulud-kulud projektita'!H8</f>
        <v>60</v>
      </c>
      <c r="I8" s="11">
        <f>'2. Tulud-kulud projektiga'!I8-'3. Tulud-kulud projektita'!I8</f>
        <v>60</v>
      </c>
      <c r="J8" s="11">
        <f>'2. Tulud-kulud projektiga'!J8-'3. Tulud-kulud projektita'!J8</f>
        <v>60</v>
      </c>
      <c r="K8" s="11">
        <f>'2. Tulud-kulud projektiga'!K8-'3. Tulud-kulud projektita'!K8</f>
        <v>60</v>
      </c>
      <c r="L8" s="11">
        <f>'2. Tulud-kulud projektiga'!L8-'3. Tulud-kulud projektita'!L8</f>
        <v>60</v>
      </c>
      <c r="M8" s="11">
        <f>'2. Tulud-kulud projektiga'!M8-'3. Tulud-kulud projektita'!M8</f>
        <v>60</v>
      </c>
      <c r="N8" s="11">
        <f>'2. Tulud-kulud projektiga'!N8-'3. Tulud-kulud projektita'!N8</f>
        <v>60</v>
      </c>
      <c r="O8" s="11">
        <f>'2. Tulud-kulud projektiga'!O8-'3. Tulud-kulud projektita'!O8</f>
        <v>60</v>
      </c>
      <c r="P8" s="11">
        <f>'2. Tulud-kulud projektiga'!P8-'3. Tulud-kulud projektita'!P8</f>
        <v>60</v>
      </c>
      <c r="Q8" s="11">
        <f>'2. Tulud-kulud projektiga'!Q8-'3. Tulud-kulud projektita'!Q8</f>
        <v>60</v>
      </c>
      <c r="R8" s="11">
        <f>'2. Tulud-kulud projektiga'!R8-'3. Tulud-kulud projektita'!R8</f>
        <v>60</v>
      </c>
      <c r="S8" s="7"/>
      <c r="T8" s="7"/>
    </row>
    <row r="9" spans="1:20" ht="15.75" customHeight="1" x14ac:dyDescent="0.35">
      <c r="A9" s="985"/>
      <c r="B9" s="52" t="s">
        <v>1</v>
      </c>
      <c r="C9" s="53" t="s">
        <v>3</v>
      </c>
      <c r="D9" s="54">
        <f>'2. Tulud-kulud projektiga'!D9-'3. Tulud-kulud projektita'!D9</f>
        <v>0</v>
      </c>
      <c r="E9" s="54">
        <f>'2. Tulud-kulud projektiga'!E9-'3. Tulud-kulud projektita'!E9</f>
        <v>0</v>
      </c>
      <c r="F9" s="54">
        <f>'2. Tulud-kulud projektiga'!F9-'3. Tulud-kulud projektita'!F9</f>
        <v>176787.00000000009</v>
      </c>
      <c r="G9" s="54">
        <f>'2. Tulud-kulud projektiga'!G9-'3. Tulud-kulud projektita'!G9</f>
        <v>176787.00000000009</v>
      </c>
      <c r="H9" s="54">
        <f>'2. Tulud-kulud projektiga'!H9-'3. Tulud-kulud projektita'!H9</f>
        <v>176787.00000000009</v>
      </c>
      <c r="I9" s="54">
        <f>'2. Tulud-kulud projektiga'!I9-'3. Tulud-kulud projektita'!I9</f>
        <v>176787.00000000009</v>
      </c>
      <c r="J9" s="54">
        <f>'2. Tulud-kulud projektiga'!J9-'3. Tulud-kulud projektita'!J9</f>
        <v>176787.00000000009</v>
      </c>
      <c r="K9" s="54">
        <f>'2. Tulud-kulud projektiga'!K9-'3. Tulud-kulud projektita'!K9</f>
        <v>176787.00000000009</v>
      </c>
      <c r="L9" s="54">
        <f>'2. Tulud-kulud projektiga'!L9-'3. Tulud-kulud projektita'!L9</f>
        <v>176787.00000000009</v>
      </c>
      <c r="M9" s="54">
        <f>'2. Tulud-kulud projektiga'!M9-'3. Tulud-kulud projektita'!M9</f>
        <v>176787.00000000009</v>
      </c>
      <c r="N9" s="54">
        <f>'2. Tulud-kulud projektiga'!N9-'3. Tulud-kulud projektita'!N9</f>
        <v>176787.00000000009</v>
      </c>
      <c r="O9" s="54">
        <f>'2. Tulud-kulud projektiga'!O9-'3. Tulud-kulud projektita'!O9</f>
        <v>176787.00000000009</v>
      </c>
      <c r="P9" s="54">
        <f>'2. Tulud-kulud projektiga'!P9-'3. Tulud-kulud projektita'!P9</f>
        <v>176787.00000000009</v>
      </c>
      <c r="Q9" s="54">
        <f>'2. Tulud-kulud projektiga'!Q9-'3. Tulud-kulud projektita'!Q9</f>
        <v>176787.00000000009</v>
      </c>
      <c r="R9" s="54">
        <f>'2. Tulud-kulud projektiga'!R9-'3. Tulud-kulud projektita'!R9</f>
        <v>176787.00000000009</v>
      </c>
      <c r="S9" s="7"/>
      <c r="T9" s="7"/>
    </row>
    <row r="10" spans="1:20" ht="4.5" customHeight="1" x14ac:dyDescent="0.35">
      <c r="A10" s="47"/>
      <c r="B10" s="26"/>
      <c r="C10" s="12"/>
      <c r="D10" s="12"/>
      <c r="E10" s="12"/>
      <c r="F10" s="12"/>
      <c r="G10" s="12"/>
      <c r="H10" s="12"/>
      <c r="I10" s="12"/>
      <c r="J10" s="12"/>
      <c r="K10" s="12"/>
      <c r="L10" s="12"/>
      <c r="M10" s="12"/>
      <c r="N10" s="12"/>
      <c r="O10" s="12"/>
      <c r="P10" s="12"/>
      <c r="Q10" s="12"/>
      <c r="R10" s="12"/>
      <c r="S10" s="7"/>
      <c r="T10" s="7"/>
    </row>
    <row r="11" spans="1:20" x14ac:dyDescent="0.35">
      <c r="A11" s="985" t="str">
        <f>'2. Tulud-kulud projektiga'!A11:A13</f>
        <v>Üüritulu büroopindadelt</v>
      </c>
      <c r="B11" s="50" t="str">
        <f>'2. Tulud-kulud projektiga'!B11</f>
        <v>Ühik 2</v>
      </c>
      <c r="C11" s="51" t="str">
        <f>'2. Tulud-kulud projektiga'!C11</f>
        <v>m2</v>
      </c>
      <c r="D11" s="11">
        <f>'2. Tulud-kulud projektiga'!D11-'3. Tulud-kulud projektita'!D11</f>
        <v>0</v>
      </c>
      <c r="E11" s="11">
        <f>'2. Tulud-kulud projektiga'!E11-'3. Tulud-kulud projektita'!E11</f>
        <v>0</v>
      </c>
      <c r="F11" s="11">
        <f>'2. Tulud-kulud projektiga'!F11-'3. Tulud-kulud projektita'!F11</f>
        <v>137.64999999999998</v>
      </c>
      <c r="G11" s="11">
        <f>'2. Tulud-kulud projektiga'!G11-'3. Tulud-kulud projektita'!G11</f>
        <v>137.64999999999998</v>
      </c>
      <c r="H11" s="11">
        <f>'2. Tulud-kulud projektiga'!H11-'3. Tulud-kulud projektita'!H11</f>
        <v>137.64999999999998</v>
      </c>
      <c r="I11" s="11">
        <f>'2. Tulud-kulud projektiga'!I11-'3. Tulud-kulud projektita'!I11</f>
        <v>137.64999999999998</v>
      </c>
      <c r="J11" s="11">
        <f>'2. Tulud-kulud projektiga'!J11-'3. Tulud-kulud projektita'!J11</f>
        <v>137.64999999999998</v>
      </c>
      <c r="K11" s="11">
        <f>'2. Tulud-kulud projektiga'!K11-'3. Tulud-kulud projektita'!K11</f>
        <v>137.64999999999998</v>
      </c>
      <c r="L11" s="11">
        <f>'2. Tulud-kulud projektiga'!L11-'3. Tulud-kulud projektita'!L11</f>
        <v>137.64999999999998</v>
      </c>
      <c r="M11" s="11">
        <f>'2. Tulud-kulud projektiga'!M11-'3. Tulud-kulud projektita'!M11</f>
        <v>137.64999999999998</v>
      </c>
      <c r="N11" s="11">
        <f>'2. Tulud-kulud projektiga'!N11-'3. Tulud-kulud projektita'!N11</f>
        <v>137.64999999999998</v>
      </c>
      <c r="O11" s="11">
        <f>'2. Tulud-kulud projektiga'!O11-'3. Tulud-kulud projektita'!O11</f>
        <v>137.64999999999998</v>
      </c>
      <c r="P11" s="11">
        <f>'2. Tulud-kulud projektiga'!P11-'3. Tulud-kulud projektita'!P11</f>
        <v>137.64999999999998</v>
      </c>
      <c r="Q11" s="11">
        <f>'2. Tulud-kulud projektiga'!Q11-'3. Tulud-kulud projektita'!Q11</f>
        <v>137.64999999999998</v>
      </c>
      <c r="R11" s="11">
        <f>'2. Tulud-kulud projektiga'!R11-'3. Tulud-kulud projektita'!R11</f>
        <v>137.64999999999998</v>
      </c>
      <c r="S11" s="7"/>
      <c r="T11" s="7"/>
    </row>
    <row r="12" spans="1:20" x14ac:dyDescent="0.35">
      <c r="A12" s="985"/>
      <c r="B12" s="50" t="s">
        <v>0</v>
      </c>
      <c r="C12" s="51" t="s">
        <v>3</v>
      </c>
      <c r="D12" s="11">
        <f>'2. Tulud-kulud projektiga'!D12-'3. Tulud-kulud projektita'!D12</f>
        <v>0</v>
      </c>
      <c r="E12" s="11">
        <f>'2. Tulud-kulud projektiga'!E12-'3. Tulud-kulud projektita'!E12</f>
        <v>0</v>
      </c>
      <c r="F12" s="11">
        <f>'2. Tulud-kulud projektiga'!F12-'3. Tulud-kulud projektita'!F12</f>
        <v>60</v>
      </c>
      <c r="G12" s="11">
        <f>'2. Tulud-kulud projektiga'!G12-'3. Tulud-kulud projektita'!G12</f>
        <v>60</v>
      </c>
      <c r="H12" s="11">
        <f>'2. Tulud-kulud projektiga'!H12-'3. Tulud-kulud projektita'!H12</f>
        <v>60</v>
      </c>
      <c r="I12" s="11">
        <f>'2. Tulud-kulud projektiga'!I12-'3. Tulud-kulud projektita'!I12</f>
        <v>60</v>
      </c>
      <c r="J12" s="11">
        <f>'2. Tulud-kulud projektiga'!J12-'3. Tulud-kulud projektita'!J12</f>
        <v>60</v>
      </c>
      <c r="K12" s="11">
        <f>'2. Tulud-kulud projektiga'!K12-'3. Tulud-kulud projektita'!K12</f>
        <v>60</v>
      </c>
      <c r="L12" s="11">
        <f>'2. Tulud-kulud projektiga'!L12-'3. Tulud-kulud projektita'!L12</f>
        <v>60</v>
      </c>
      <c r="M12" s="11">
        <f>'2. Tulud-kulud projektiga'!M12-'3. Tulud-kulud projektita'!M12</f>
        <v>60</v>
      </c>
      <c r="N12" s="11">
        <f>'2. Tulud-kulud projektiga'!N12-'3. Tulud-kulud projektita'!N12</f>
        <v>60</v>
      </c>
      <c r="O12" s="11">
        <f>'2. Tulud-kulud projektiga'!O12-'3. Tulud-kulud projektita'!O12</f>
        <v>60</v>
      </c>
      <c r="P12" s="11">
        <f>'2. Tulud-kulud projektiga'!P12-'3. Tulud-kulud projektita'!P12</f>
        <v>60</v>
      </c>
      <c r="Q12" s="11">
        <f>'2. Tulud-kulud projektiga'!Q12-'3. Tulud-kulud projektita'!Q12</f>
        <v>60</v>
      </c>
      <c r="R12" s="11">
        <f>'2. Tulud-kulud projektiga'!R12-'3. Tulud-kulud projektita'!R12</f>
        <v>60</v>
      </c>
      <c r="S12" s="7"/>
      <c r="T12" s="7"/>
    </row>
    <row r="13" spans="1:20" x14ac:dyDescent="0.35">
      <c r="A13" s="985"/>
      <c r="B13" s="52" t="s">
        <v>1</v>
      </c>
      <c r="C13" s="53" t="s">
        <v>3</v>
      </c>
      <c r="D13" s="54">
        <f>'2. Tulud-kulud projektiga'!D13-'3. Tulud-kulud projektita'!D13</f>
        <v>0</v>
      </c>
      <c r="E13" s="54">
        <f>'2. Tulud-kulud projektiga'!E13-'3. Tulud-kulud projektita'!E13</f>
        <v>0</v>
      </c>
      <c r="F13" s="54">
        <f>'2. Tulud-kulud projektiga'!F13-'3. Tulud-kulud projektita'!F13</f>
        <v>8258.9999999999982</v>
      </c>
      <c r="G13" s="54">
        <f>'2. Tulud-kulud projektiga'!G13-'3. Tulud-kulud projektita'!G13</f>
        <v>8258.9999999999982</v>
      </c>
      <c r="H13" s="54">
        <f>'2. Tulud-kulud projektiga'!H13-'3. Tulud-kulud projektita'!H13</f>
        <v>8258.9999999999982</v>
      </c>
      <c r="I13" s="54">
        <f>'2. Tulud-kulud projektiga'!I13-'3. Tulud-kulud projektita'!I13</f>
        <v>8258.9999999999982</v>
      </c>
      <c r="J13" s="54">
        <f>'2. Tulud-kulud projektiga'!J13-'3. Tulud-kulud projektita'!J13</f>
        <v>8258.9999999999982</v>
      </c>
      <c r="K13" s="54">
        <f>'2. Tulud-kulud projektiga'!K13-'3. Tulud-kulud projektita'!K13</f>
        <v>8258.9999999999982</v>
      </c>
      <c r="L13" s="54">
        <f>'2. Tulud-kulud projektiga'!L13-'3. Tulud-kulud projektita'!L13</f>
        <v>8258.9999999999982</v>
      </c>
      <c r="M13" s="54">
        <f>'2. Tulud-kulud projektiga'!M13-'3. Tulud-kulud projektita'!M13</f>
        <v>8258.9999999999982</v>
      </c>
      <c r="N13" s="54">
        <f>'2. Tulud-kulud projektiga'!N13-'3. Tulud-kulud projektita'!N13</f>
        <v>8258.9999999999982</v>
      </c>
      <c r="O13" s="54">
        <f>'2. Tulud-kulud projektiga'!O13-'3. Tulud-kulud projektita'!O13</f>
        <v>8258.9999999999982</v>
      </c>
      <c r="P13" s="54">
        <f>'2. Tulud-kulud projektiga'!P13-'3. Tulud-kulud projektita'!P13</f>
        <v>8258.9999999999982</v>
      </c>
      <c r="Q13" s="54">
        <f>'2. Tulud-kulud projektiga'!Q13-'3. Tulud-kulud projektita'!Q13</f>
        <v>8258.9999999999982</v>
      </c>
      <c r="R13" s="54">
        <f>'2. Tulud-kulud projektiga'!R13-'3. Tulud-kulud projektita'!R13</f>
        <v>8258.9999999999982</v>
      </c>
      <c r="S13" s="7"/>
      <c r="T13" s="7"/>
    </row>
    <row r="14" spans="1:20" ht="4.5" customHeight="1" x14ac:dyDescent="0.35">
      <c r="A14" s="47"/>
      <c r="B14" s="26"/>
      <c r="C14" s="12"/>
      <c r="D14" s="12"/>
      <c r="E14" s="12"/>
      <c r="F14" s="12"/>
      <c r="G14" s="12"/>
      <c r="H14" s="12"/>
      <c r="I14" s="12"/>
      <c r="J14" s="12"/>
      <c r="K14" s="12"/>
      <c r="L14" s="12"/>
      <c r="M14" s="12"/>
      <c r="N14" s="12"/>
      <c r="O14" s="12"/>
      <c r="P14" s="12"/>
      <c r="Q14" s="12"/>
      <c r="R14" s="12"/>
      <c r="S14" s="7"/>
      <c r="T14" s="7"/>
    </row>
    <row r="15" spans="1:20" x14ac:dyDescent="0.35">
      <c r="A15" s="985" t="str">
        <f>'2. Tulud-kulud projektiga'!A15:A17</f>
        <v>Toode/teenus 3</v>
      </c>
      <c r="B15" s="50" t="str">
        <f>'2. Tulud-kulud projektiga'!B15</f>
        <v>Ühik 3</v>
      </c>
      <c r="C15" s="51">
        <f>'2. Tulud-kulud projektiga'!C15</f>
        <v>0</v>
      </c>
      <c r="D15" s="11">
        <f>'2. Tulud-kulud projektiga'!D15-'3. Tulud-kulud projektita'!D15</f>
        <v>0</v>
      </c>
      <c r="E15" s="11">
        <f>'2. Tulud-kulud projektiga'!E15-'3. Tulud-kulud projektita'!E15</f>
        <v>0</v>
      </c>
      <c r="F15" s="11">
        <f>'2. Tulud-kulud projektiga'!F15-'3. Tulud-kulud projektita'!F15</f>
        <v>0</v>
      </c>
      <c r="G15" s="11">
        <f>'2. Tulud-kulud projektiga'!G15-'3. Tulud-kulud projektita'!G15</f>
        <v>0</v>
      </c>
      <c r="H15" s="11">
        <f>'2. Tulud-kulud projektiga'!H15-'3. Tulud-kulud projektita'!H15</f>
        <v>0</v>
      </c>
      <c r="I15" s="11">
        <f>'2. Tulud-kulud projektiga'!I15-'3. Tulud-kulud projektita'!I15</f>
        <v>0</v>
      </c>
      <c r="J15" s="11">
        <f>'2. Tulud-kulud projektiga'!J15-'3. Tulud-kulud projektita'!J15</f>
        <v>0</v>
      </c>
      <c r="K15" s="11">
        <f>'2. Tulud-kulud projektiga'!K15-'3. Tulud-kulud projektita'!K15</f>
        <v>0</v>
      </c>
      <c r="L15" s="11">
        <f>'2. Tulud-kulud projektiga'!L15-'3. Tulud-kulud projektita'!L15</f>
        <v>0</v>
      </c>
      <c r="M15" s="11">
        <f>'2. Tulud-kulud projektiga'!M15-'3. Tulud-kulud projektita'!M15</f>
        <v>0</v>
      </c>
      <c r="N15" s="11">
        <f>'2. Tulud-kulud projektiga'!N15-'3. Tulud-kulud projektita'!N15</f>
        <v>0</v>
      </c>
      <c r="O15" s="11">
        <f>'2. Tulud-kulud projektiga'!O15-'3. Tulud-kulud projektita'!O15</f>
        <v>0</v>
      </c>
      <c r="P15" s="11">
        <f>'2. Tulud-kulud projektiga'!P15-'3. Tulud-kulud projektita'!P15</f>
        <v>0</v>
      </c>
      <c r="Q15" s="11">
        <f>'2. Tulud-kulud projektiga'!Q15-'3. Tulud-kulud projektita'!Q15</f>
        <v>0</v>
      </c>
      <c r="R15" s="11">
        <f>'2. Tulud-kulud projektiga'!R15-'3. Tulud-kulud projektita'!R15</f>
        <v>0</v>
      </c>
      <c r="S15" s="7"/>
      <c r="T15" s="7"/>
    </row>
    <row r="16" spans="1:20" x14ac:dyDescent="0.35">
      <c r="A16" s="985"/>
      <c r="B16" s="50" t="s">
        <v>0</v>
      </c>
      <c r="C16" s="51" t="s">
        <v>3</v>
      </c>
      <c r="D16" s="11">
        <f>'2. Tulud-kulud projektiga'!D16-'3. Tulud-kulud projektita'!D16</f>
        <v>0</v>
      </c>
      <c r="E16" s="11">
        <f>'2. Tulud-kulud projektiga'!E16-'3. Tulud-kulud projektita'!E16</f>
        <v>0</v>
      </c>
      <c r="F16" s="11">
        <f>'2. Tulud-kulud projektiga'!F16-'3. Tulud-kulud projektita'!F16</f>
        <v>0</v>
      </c>
      <c r="G16" s="11">
        <f>'2. Tulud-kulud projektiga'!G16-'3. Tulud-kulud projektita'!G16</f>
        <v>0</v>
      </c>
      <c r="H16" s="11">
        <f>'2. Tulud-kulud projektiga'!H16-'3. Tulud-kulud projektita'!H16</f>
        <v>0</v>
      </c>
      <c r="I16" s="11">
        <f>'2. Tulud-kulud projektiga'!I16-'3. Tulud-kulud projektita'!I16</f>
        <v>0</v>
      </c>
      <c r="J16" s="11">
        <f>'2. Tulud-kulud projektiga'!J16-'3. Tulud-kulud projektita'!J16</f>
        <v>0</v>
      </c>
      <c r="K16" s="11">
        <f>'2. Tulud-kulud projektiga'!K16-'3. Tulud-kulud projektita'!K16</f>
        <v>0</v>
      </c>
      <c r="L16" s="11">
        <f>'2. Tulud-kulud projektiga'!L16-'3. Tulud-kulud projektita'!L16</f>
        <v>0</v>
      </c>
      <c r="M16" s="11">
        <f>'2. Tulud-kulud projektiga'!M16-'3. Tulud-kulud projektita'!M16</f>
        <v>0</v>
      </c>
      <c r="N16" s="11">
        <f>'2. Tulud-kulud projektiga'!N16-'3. Tulud-kulud projektita'!N16</f>
        <v>0</v>
      </c>
      <c r="O16" s="11">
        <f>'2. Tulud-kulud projektiga'!O16-'3. Tulud-kulud projektita'!O16</f>
        <v>0</v>
      </c>
      <c r="P16" s="11">
        <f>'2. Tulud-kulud projektiga'!P16-'3. Tulud-kulud projektita'!P16</f>
        <v>0</v>
      </c>
      <c r="Q16" s="11">
        <f>'2. Tulud-kulud projektiga'!Q16-'3. Tulud-kulud projektita'!Q16</f>
        <v>0</v>
      </c>
      <c r="R16" s="11">
        <f>'2. Tulud-kulud projektiga'!R16-'3. Tulud-kulud projektita'!R16</f>
        <v>0</v>
      </c>
      <c r="S16" s="7"/>
      <c r="T16" s="7"/>
    </row>
    <row r="17" spans="1:20" x14ac:dyDescent="0.35">
      <c r="A17" s="985"/>
      <c r="B17" s="52" t="s">
        <v>1</v>
      </c>
      <c r="C17" s="53" t="s">
        <v>3</v>
      </c>
      <c r="D17" s="54">
        <f>'2. Tulud-kulud projektiga'!D17-'3. Tulud-kulud projektita'!D17</f>
        <v>0</v>
      </c>
      <c r="E17" s="54">
        <f>'2. Tulud-kulud projektiga'!E17-'3. Tulud-kulud projektita'!E17</f>
        <v>0</v>
      </c>
      <c r="F17" s="54">
        <f>'2. Tulud-kulud projektiga'!F17-'3. Tulud-kulud projektita'!F17</f>
        <v>0</v>
      </c>
      <c r="G17" s="54">
        <f>'2. Tulud-kulud projektiga'!G17-'3. Tulud-kulud projektita'!G17</f>
        <v>0</v>
      </c>
      <c r="H17" s="54">
        <f>'2. Tulud-kulud projektiga'!H17-'3. Tulud-kulud projektita'!H17</f>
        <v>0</v>
      </c>
      <c r="I17" s="54">
        <f>'2. Tulud-kulud projektiga'!I17-'3. Tulud-kulud projektita'!I17</f>
        <v>0</v>
      </c>
      <c r="J17" s="54">
        <f>'2. Tulud-kulud projektiga'!J17-'3. Tulud-kulud projektita'!J17</f>
        <v>0</v>
      </c>
      <c r="K17" s="54">
        <f>'2. Tulud-kulud projektiga'!K17-'3. Tulud-kulud projektita'!K17</f>
        <v>0</v>
      </c>
      <c r="L17" s="54">
        <f>'2. Tulud-kulud projektiga'!L17-'3. Tulud-kulud projektita'!L17</f>
        <v>0</v>
      </c>
      <c r="M17" s="54">
        <f>'2. Tulud-kulud projektiga'!M17-'3. Tulud-kulud projektita'!M17</f>
        <v>0</v>
      </c>
      <c r="N17" s="54">
        <f>'2. Tulud-kulud projektiga'!N17-'3. Tulud-kulud projektita'!N17</f>
        <v>0</v>
      </c>
      <c r="O17" s="54">
        <f>'2. Tulud-kulud projektiga'!O17-'3. Tulud-kulud projektita'!O17</f>
        <v>0</v>
      </c>
      <c r="P17" s="54">
        <f>'2. Tulud-kulud projektiga'!P17-'3. Tulud-kulud projektita'!P17</f>
        <v>0</v>
      </c>
      <c r="Q17" s="54">
        <f>'2. Tulud-kulud projektiga'!Q17-'3. Tulud-kulud projektita'!Q17</f>
        <v>0</v>
      </c>
      <c r="R17" s="54">
        <f>'2. Tulud-kulud projektiga'!R17-'3. Tulud-kulud projektita'!R17</f>
        <v>0</v>
      </c>
      <c r="S17" s="7"/>
      <c r="T17" s="7"/>
    </row>
    <row r="18" spans="1:20" ht="4.5" customHeight="1" x14ac:dyDescent="0.35">
      <c r="A18" s="47"/>
      <c r="B18" s="26"/>
      <c r="C18" s="12"/>
      <c r="D18" s="12"/>
      <c r="E18" s="12"/>
      <c r="F18" s="12"/>
      <c r="G18" s="12"/>
      <c r="H18" s="12"/>
      <c r="I18" s="12"/>
      <c r="J18" s="12"/>
      <c r="K18" s="12"/>
      <c r="L18" s="12"/>
      <c r="M18" s="12"/>
      <c r="N18" s="12"/>
      <c r="O18" s="12"/>
      <c r="P18" s="12"/>
      <c r="Q18" s="12"/>
      <c r="R18" s="12"/>
      <c r="S18" s="7"/>
      <c r="T18" s="7"/>
    </row>
    <row r="19" spans="1:20" x14ac:dyDescent="0.35">
      <c r="A19" s="985" t="str">
        <f>'2. Tulud-kulud projektiga'!A19:A21</f>
        <v>Toode/teenus 4</v>
      </c>
      <c r="B19" s="50" t="str">
        <f>'2. Tulud-kulud projektiga'!B19</f>
        <v>Ühik 4</v>
      </c>
      <c r="C19" s="51">
        <f>'2. Tulud-kulud projektiga'!C19</f>
        <v>0</v>
      </c>
      <c r="D19" s="11">
        <f>'2. Tulud-kulud projektiga'!D19-'3. Tulud-kulud projektita'!D19</f>
        <v>0</v>
      </c>
      <c r="E19" s="11">
        <f>'2. Tulud-kulud projektiga'!E19-'3. Tulud-kulud projektita'!E19</f>
        <v>0</v>
      </c>
      <c r="F19" s="11">
        <f>'2. Tulud-kulud projektiga'!F19-'3. Tulud-kulud projektita'!F19</f>
        <v>0</v>
      </c>
      <c r="G19" s="11">
        <f>'2. Tulud-kulud projektiga'!G19-'3. Tulud-kulud projektita'!G19</f>
        <v>0</v>
      </c>
      <c r="H19" s="11">
        <f>'2. Tulud-kulud projektiga'!H19-'3. Tulud-kulud projektita'!H19</f>
        <v>0</v>
      </c>
      <c r="I19" s="11">
        <f>'2. Tulud-kulud projektiga'!I19-'3. Tulud-kulud projektita'!I19</f>
        <v>0</v>
      </c>
      <c r="J19" s="11">
        <f>'2. Tulud-kulud projektiga'!J19-'3. Tulud-kulud projektita'!J19</f>
        <v>0</v>
      </c>
      <c r="K19" s="11">
        <f>'2. Tulud-kulud projektiga'!K19-'3. Tulud-kulud projektita'!K19</f>
        <v>0</v>
      </c>
      <c r="L19" s="11">
        <f>'2. Tulud-kulud projektiga'!L19-'3. Tulud-kulud projektita'!L19</f>
        <v>0</v>
      </c>
      <c r="M19" s="11">
        <f>'2. Tulud-kulud projektiga'!M19-'3. Tulud-kulud projektita'!M19</f>
        <v>0</v>
      </c>
      <c r="N19" s="11">
        <f>'2. Tulud-kulud projektiga'!N19-'3. Tulud-kulud projektita'!N19</f>
        <v>0</v>
      </c>
      <c r="O19" s="11">
        <f>'2. Tulud-kulud projektiga'!O19-'3. Tulud-kulud projektita'!O19</f>
        <v>0</v>
      </c>
      <c r="P19" s="11">
        <f>'2. Tulud-kulud projektiga'!P19-'3. Tulud-kulud projektita'!P19</f>
        <v>0</v>
      </c>
      <c r="Q19" s="11">
        <f>'2. Tulud-kulud projektiga'!Q19-'3. Tulud-kulud projektita'!Q19</f>
        <v>0</v>
      </c>
      <c r="R19" s="11">
        <f>'2. Tulud-kulud projektiga'!R19-'3. Tulud-kulud projektita'!R19</f>
        <v>0</v>
      </c>
      <c r="S19" s="7"/>
      <c r="T19" s="7"/>
    </row>
    <row r="20" spans="1:20" x14ac:dyDescent="0.35">
      <c r="A20" s="985"/>
      <c r="B20" s="50" t="s">
        <v>0</v>
      </c>
      <c r="C20" s="51" t="s">
        <v>3</v>
      </c>
      <c r="D20" s="11">
        <f>'2. Tulud-kulud projektiga'!D20-'3. Tulud-kulud projektita'!D20</f>
        <v>0</v>
      </c>
      <c r="E20" s="11">
        <f>'2. Tulud-kulud projektiga'!E20-'3. Tulud-kulud projektita'!E20</f>
        <v>0</v>
      </c>
      <c r="F20" s="11">
        <f>'2. Tulud-kulud projektiga'!F20-'3. Tulud-kulud projektita'!F20</f>
        <v>0</v>
      </c>
      <c r="G20" s="11">
        <f>'2. Tulud-kulud projektiga'!G20-'3. Tulud-kulud projektita'!G20</f>
        <v>0</v>
      </c>
      <c r="H20" s="11">
        <f>'2. Tulud-kulud projektiga'!H20-'3. Tulud-kulud projektita'!H20</f>
        <v>0</v>
      </c>
      <c r="I20" s="11">
        <f>'2. Tulud-kulud projektiga'!I20-'3. Tulud-kulud projektita'!I20</f>
        <v>0</v>
      </c>
      <c r="J20" s="11">
        <f>'2. Tulud-kulud projektiga'!J20-'3. Tulud-kulud projektita'!J20</f>
        <v>0</v>
      </c>
      <c r="K20" s="11">
        <f>'2. Tulud-kulud projektiga'!K20-'3. Tulud-kulud projektita'!K20</f>
        <v>0</v>
      </c>
      <c r="L20" s="11">
        <f>'2. Tulud-kulud projektiga'!L20-'3. Tulud-kulud projektita'!L20</f>
        <v>0</v>
      </c>
      <c r="M20" s="11">
        <f>'2. Tulud-kulud projektiga'!M20-'3. Tulud-kulud projektita'!M20</f>
        <v>0</v>
      </c>
      <c r="N20" s="11">
        <f>'2. Tulud-kulud projektiga'!N20-'3. Tulud-kulud projektita'!N20</f>
        <v>0</v>
      </c>
      <c r="O20" s="11">
        <f>'2. Tulud-kulud projektiga'!O20-'3. Tulud-kulud projektita'!O20</f>
        <v>0</v>
      </c>
      <c r="P20" s="11">
        <f>'2. Tulud-kulud projektiga'!P20-'3. Tulud-kulud projektita'!P20</f>
        <v>0</v>
      </c>
      <c r="Q20" s="11">
        <f>'2. Tulud-kulud projektiga'!Q20-'3. Tulud-kulud projektita'!Q20</f>
        <v>0</v>
      </c>
      <c r="R20" s="11">
        <f>'2. Tulud-kulud projektiga'!R20-'3. Tulud-kulud projektita'!R20</f>
        <v>0</v>
      </c>
      <c r="S20" s="7"/>
      <c r="T20" s="7"/>
    </row>
    <row r="21" spans="1:20" x14ac:dyDescent="0.35">
      <c r="A21" s="985"/>
      <c r="B21" s="52" t="s">
        <v>1</v>
      </c>
      <c r="C21" s="53" t="s">
        <v>3</v>
      </c>
      <c r="D21" s="54">
        <f>'2. Tulud-kulud projektiga'!D21-'3. Tulud-kulud projektita'!D21</f>
        <v>0</v>
      </c>
      <c r="E21" s="54">
        <f>'2. Tulud-kulud projektiga'!E21-'3. Tulud-kulud projektita'!E21</f>
        <v>0</v>
      </c>
      <c r="F21" s="54">
        <f>'2. Tulud-kulud projektiga'!F21-'3. Tulud-kulud projektita'!F21</f>
        <v>0</v>
      </c>
      <c r="G21" s="54">
        <f>'2. Tulud-kulud projektiga'!G21-'3. Tulud-kulud projektita'!G21</f>
        <v>0</v>
      </c>
      <c r="H21" s="54">
        <f>'2. Tulud-kulud projektiga'!H21-'3. Tulud-kulud projektita'!H21</f>
        <v>0</v>
      </c>
      <c r="I21" s="54">
        <f>'2. Tulud-kulud projektiga'!I21-'3. Tulud-kulud projektita'!I21</f>
        <v>0</v>
      </c>
      <c r="J21" s="54">
        <f>'2. Tulud-kulud projektiga'!J21-'3. Tulud-kulud projektita'!J21</f>
        <v>0</v>
      </c>
      <c r="K21" s="54">
        <f>'2. Tulud-kulud projektiga'!K21-'3. Tulud-kulud projektita'!K21</f>
        <v>0</v>
      </c>
      <c r="L21" s="54">
        <f>'2. Tulud-kulud projektiga'!L21-'3. Tulud-kulud projektita'!L21</f>
        <v>0</v>
      </c>
      <c r="M21" s="54">
        <f>'2. Tulud-kulud projektiga'!M21-'3. Tulud-kulud projektita'!M21</f>
        <v>0</v>
      </c>
      <c r="N21" s="54">
        <f>'2. Tulud-kulud projektiga'!N21-'3. Tulud-kulud projektita'!N21</f>
        <v>0</v>
      </c>
      <c r="O21" s="54">
        <f>'2. Tulud-kulud projektiga'!O21-'3. Tulud-kulud projektita'!O21</f>
        <v>0</v>
      </c>
      <c r="P21" s="54">
        <f>'2. Tulud-kulud projektiga'!P21-'3. Tulud-kulud projektita'!P21</f>
        <v>0</v>
      </c>
      <c r="Q21" s="54">
        <f>'2. Tulud-kulud projektiga'!Q21-'3. Tulud-kulud projektita'!Q21</f>
        <v>0</v>
      </c>
      <c r="R21" s="54">
        <f>'2. Tulud-kulud projektiga'!R21-'3. Tulud-kulud projektita'!R21</f>
        <v>0</v>
      </c>
      <c r="S21" s="7"/>
      <c r="T21" s="7"/>
    </row>
    <row r="22" spans="1:20" ht="4.5" customHeight="1" x14ac:dyDescent="0.35">
      <c r="A22" s="47"/>
      <c r="B22" s="26"/>
      <c r="C22" s="12"/>
      <c r="D22" s="12"/>
      <c r="E22" s="12"/>
      <c r="F22" s="12"/>
      <c r="G22" s="12"/>
      <c r="H22" s="12"/>
      <c r="I22" s="12"/>
      <c r="J22" s="12"/>
      <c r="K22" s="12"/>
      <c r="L22" s="12"/>
      <c r="M22" s="12"/>
      <c r="N22" s="12"/>
      <c r="O22" s="12"/>
      <c r="P22" s="12"/>
      <c r="Q22" s="12"/>
      <c r="R22" s="12"/>
      <c r="S22" s="7"/>
      <c r="T22" s="7"/>
    </row>
    <row r="23" spans="1:20" x14ac:dyDescent="0.35">
      <c r="A23" s="985" t="str">
        <f>'2. Tulud-kulud projektiga'!A23:A25</f>
        <v>Toode/teenus 5</v>
      </c>
      <c r="B23" s="50" t="str">
        <f>'2. Tulud-kulud projektiga'!B23</f>
        <v>Ühik 5</v>
      </c>
      <c r="C23" s="51">
        <f>'2. Tulud-kulud projektiga'!C23</f>
        <v>0</v>
      </c>
      <c r="D23" s="11">
        <f>'2. Tulud-kulud projektiga'!D23-'3. Tulud-kulud projektita'!D23</f>
        <v>0</v>
      </c>
      <c r="E23" s="11">
        <f>'2. Tulud-kulud projektiga'!E23-'3. Tulud-kulud projektita'!E23</f>
        <v>0</v>
      </c>
      <c r="F23" s="11">
        <f>'2. Tulud-kulud projektiga'!F23-'3. Tulud-kulud projektita'!F23</f>
        <v>0</v>
      </c>
      <c r="G23" s="11">
        <f>'2. Tulud-kulud projektiga'!G23-'3. Tulud-kulud projektita'!G23</f>
        <v>0</v>
      </c>
      <c r="H23" s="11">
        <f>'2. Tulud-kulud projektiga'!H23-'3. Tulud-kulud projektita'!H23</f>
        <v>0</v>
      </c>
      <c r="I23" s="11">
        <f>'2. Tulud-kulud projektiga'!I23-'3. Tulud-kulud projektita'!I23</f>
        <v>0</v>
      </c>
      <c r="J23" s="11">
        <f>'2. Tulud-kulud projektiga'!J23-'3. Tulud-kulud projektita'!J23</f>
        <v>0</v>
      </c>
      <c r="K23" s="11">
        <f>'2. Tulud-kulud projektiga'!K23-'3. Tulud-kulud projektita'!K23</f>
        <v>0</v>
      </c>
      <c r="L23" s="11">
        <f>'2. Tulud-kulud projektiga'!L23-'3. Tulud-kulud projektita'!L23</f>
        <v>0</v>
      </c>
      <c r="M23" s="11">
        <f>'2. Tulud-kulud projektiga'!M23-'3. Tulud-kulud projektita'!M23</f>
        <v>0</v>
      </c>
      <c r="N23" s="11">
        <f>'2. Tulud-kulud projektiga'!N23-'3. Tulud-kulud projektita'!N23</f>
        <v>0</v>
      </c>
      <c r="O23" s="11">
        <f>'2. Tulud-kulud projektiga'!O23-'3. Tulud-kulud projektita'!O23</f>
        <v>0</v>
      </c>
      <c r="P23" s="11">
        <f>'2. Tulud-kulud projektiga'!P23-'3. Tulud-kulud projektita'!P23</f>
        <v>0</v>
      </c>
      <c r="Q23" s="11">
        <f>'2. Tulud-kulud projektiga'!Q23-'3. Tulud-kulud projektita'!Q23</f>
        <v>0</v>
      </c>
      <c r="R23" s="11">
        <f>'2. Tulud-kulud projektiga'!R23-'3. Tulud-kulud projektita'!R23</f>
        <v>0</v>
      </c>
      <c r="S23" s="7"/>
      <c r="T23" s="7"/>
    </row>
    <row r="24" spans="1:20" x14ac:dyDescent="0.35">
      <c r="A24" s="985"/>
      <c r="B24" s="50" t="s">
        <v>0</v>
      </c>
      <c r="C24" s="51" t="s">
        <v>3</v>
      </c>
      <c r="D24" s="11">
        <f>'2. Tulud-kulud projektiga'!D24-'3. Tulud-kulud projektita'!D24</f>
        <v>0</v>
      </c>
      <c r="E24" s="11">
        <f>'2. Tulud-kulud projektiga'!E24-'3. Tulud-kulud projektita'!E24</f>
        <v>0</v>
      </c>
      <c r="F24" s="11">
        <f>'2. Tulud-kulud projektiga'!F24-'3. Tulud-kulud projektita'!F24</f>
        <v>0</v>
      </c>
      <c r="G24" s="11">
        <f>'2. Tulud-kulud projektiga'!G24-'3. Tulud-kulud projektita'!G24</f>
        <v>0</v>
      </c>
      <c r="H24" s="11">
        <f>'2. Tulud-kulud projektiga'!H24-'3. Tulud-kulud projektita'!H24</f>
        <v>0</v>
      </c>
      <c r="I24" s="11">
        <f>'2. Tulud-kulud projektiga'!I24-'3. Tulud-kulud projektita'!I24</f>
        <v>0</v>
      </c>
      <c r="J24" s="11">
        <f>'2. Tulud-kulud projektiga'!J24-'3. Tulud-kulud projektita'!J24</f>
        <v>0</v>
      </c>
      <c r="K24" s="11">
        <f>'2. Tulud-kulud projektiga'!K24-'3. Tulud-kulud projektita'!K24</f>
        <v>0</v>
      </c>
      <c r="L24" s="11">
        <f>'2. Tulud-kulud projektiga'!L24-'3. Tulud-kulud projektita'!L24</f>
        <v>0</v>
      </c>
      <c r="M24" s="11">
        <f>'2. Tulud-kulud projektiga'!M24-'3. Tulud-kulud projektita'!M24</f>
        <v>0</v>
      </c>
      <c r="N24" s="11">
        <f>'2. Tulud-kulud projektiga'!N24-'3. Tulud-kulud projektita'!N24</f>
        <v>0</v>
      </c>
      <c r="O24" s="11">
        <f>'2. Tulud-kulud projektiga'!O24-'3. Tulud-kulud projektita'!O24</f>
        <v>0</v>
      </c>
      <c r="P24" s="11">
        <f>'2. Tulud-kulud projektiga'!P24-'3. Tulud-kulud projektita'!P24</f>
        <v>0</v>
      </c>
      <c r="Q24" s="11">
        <f>'2. Tulud-kulud projektiga'!Q24-'3. Tulud-kulud projektita'!Q24</f>
        <v>0</v>
      </c>
      <c r="R24" s="11">
        <f>'2. Tulud-kulud projektiga'!R24-'3. Tulud-kulud projektita'!R24</f>
        <v>0</v>
      </c>
      <c r="S24" s="7"/>
      <c r="T24" s="7"/>
    </row>
    <row r="25" spans="1:20" x14ac:dyDescent="0.35">
      <c r="A25" s="985"/>
      <c r="B25" s="52" t="s">
        <v>1</v>
      </c>
      <c r="C25" s="53" t="s">
        <v>3</v>
      </c>
      <c r="D25" s="54">
        <f>'2. Tulud-kulud projektiga'!D25-'3. Tulud-kulud projektita'!D25</f>
        <v>0</v>
      </c>
      <c r="E25" s="54">
        <f>'2. Tulud-kulud projektiga'!E25-'3. Tulud-kulud projektita'!E25</f>
        <v>0</v>
      </c>
      <c r="F25" s="54">
        <f>'2. Tulud-kulud projektiga'!F25-'3. Tulud-kulud projektita'!F25</f>
        <v>0</v>
      </c>
      <c r="G25" s="54">
        <f>'2. Tulud-kulud projektiga'!G25-'3. Tulud-kulud projektita'!G25</f>
        <v>0</v>
      </c>
      <c r="H25" s="54">
        <f>'2. Tulud-kulud projektiga'!H25-'3. Tulud-kulud projektita'!H25</f>
        <v>0</v>
      </c>
      <c r="I25" s="54">
        <f>'2. Tulud-kulud projektiga'!I25-'3. Tulud-kulud projektita'!I25</f>
        <v>0</v>
      </c>
      <c r="J25" s="54">
        <f>'2. Tulud-kulud projektiga'!J25-'3. Tulud-kulud projektita'!J25</f>
        <v>0</v>
      </c>
      <c r="K25" s="54">
        <f>'2. Tulud-kulud projektiga'!K25-'3. Tulud-kulud projektita'!K25</f>
        <v>0</v>
      </c>
      <c r="L25" s="54">
        <f>'2. Tulud-kulud projektiga'!L25-'3. Tulud-kulud projektita'!L25</f>
        <v>0</v>
      </c>
      <c r="M25" s="54">
        <f>'2. Tulud-kulud projektiga'!M25-'3. Tulud-kulud projektita'!M25</f>
        <v>0</v>
      </c>
      <c r="N25" s="54">
        <f>'2. Tulud-kulud projektiga'!N25-'3. Tulud-kulud projektita'!N25</f>
        <v>0</v>
      </c>
      <c r="O25" s="54">
        <f>'2. Tulud-kulud projektiga'!O25-'3. Tulud-kulud projektita'!O25</f>
        <v>0</v>
      </c>
      <c r="P25" s="54">
        <f>'2. Tulud-kulud projektiga'!P25-'3. Tulud-kulud projektita'!P25</f>
        <v>0</v>
      </c>
      <c r="Q25" s="54">
        <f>'2. Tulud-kulud projektiga'!Q25-'3. Tulud-kulud projektita'!Q25</f>
        <v>0</v>
      </c>
      <c r="R25" s="54">
        <f>'2. Tulud-kulud projektiga'!R25-'3. Tulud-kulud projektita'!R25</f>
        <v>0</v>
      </c>
      <c r="S25" s="7"/>
      <c r="T25" s="7"/>
    </row>
    <row r="26" spans="1:20" ht="4.5" customHeight="1" x14ac:dyDescent="0.35">
      <c r="A26" s="47"/>
      <c r="B26" s="26"/>
      <c r="C26" s="12"/>
      <c r="D26" s="12"/>
      <c r="E26" s="12"/>
      <c r="F26" s="12"/>
      <c r="G26" s="12"/>
      <c r="H26" s="12"/>
      <c r="I26" s="12"/>
      <c r="J26" s="12"/>
      <c r="K26" s="12"/>
      <c r="L26" s="12"/>
      <c r="M26" s="12"/>
      <c r="N26" s="12"/>
      <c r="O26" s="12"/>
      <c r="P26" s="12"/>
      <c r="Q26" s="12"/>
      <c r="R26" s="12"/>
      <c r="S26" s="7"/>
      <c r="T26" s="7"/>
    </row>
    <row r="27" spans="1:20" hidden="1" outlineLevel="1" x14ac:dyDescent="0.35">
      <c r="A27" s="985" t="str">
        <f>'2. Tulud-kulud projektiga'!A27:A29</f>
        <v>Toode/teenus 6</v>
      </c>
      <c r="B27" s="50" t="str">
        <f>'2. Tulud-kulud projektiga'!B27</f>
        <v>Ühik 6</v>
      </c>
      <c r="C27" s="51">
        <f>'2. Tulud-kulud projektiga'!C27</f>
        <v>0</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7"/>
      <c r="T27" s="7"/>
    </row>
    <row r="28" spans="1:20" hidden="1" outlineLevel="1" x14ac:dyDescent="0.35">
      <c r="A28" s="985"/>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7"/>
      <c r="T28" s="7"/>
    </row>
    <row r="29" spans="1:20" hidden="1" outlineLevel="1" x14ac:dyDescent="0.35">
      <c r="A29" s="985"/>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7"/>
      <c r="T29" s="7"/>
    </row>
    <row r="30" spans="1:20" ht="4.5" hidden="1" customHeight="1" outlineLevel="1" x14ac:dyDescent="0.35">
      <c r="A30" s="47"/>
      <c r="B30" s="26"/>
      <c r="C30" s="12"/>
      <c r="D30" s="12"/>
      <c r="E30" s="12"/>
      <c r="F30" s="12"/>
      <c r="G30" s="12"/>
      <c r="H30" s="12"/>
      <c r="I30" s="12"/>
      <c r="J30" s="12"/>
      <c r="K30" s="12"/>
      <c r="L30" s="12"/>
      <c r="M30" s="12"/>
      <c r="N30" s="12"/>
      <c r="O30" s="12"/>
      <c r="P30" s="12"/>
      <c r="Q30" s="12"/>
      <c r="R30" s="12"/>
      <c r="S30" s="7"/>
      <c r="T30" s="7"/>
    </row>
    <row r="31" spans="1:20" hidden="1" outlineLevel="1" x14ac:dyDescent="0.35">
      <c r="A31" s="985" t="str">
        <f>'2. Tulud-kulud projektiga'!A31:A33</f>
        <v>Toode/teenus 7</v>
      </c>
      <c r="B31" s="50" t="str">
        <f>'2. Tulud-kulud projektiga'!B31</f>
        <v>Ühik 7</v>
      </c>
      <c r="C31" s="51">
        <f>'2. Tulud-kulud projektiga'!C31</f>
        <v>0</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7"/>
      <c r="T31" s="7"/>
    </row>
    <row r="32" spans="1:20" hidden="1" outlineLevel="1" x14ac:dyDescent="0.35">
      <c r="A32" s="985"/>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7"/>
      <c r="T32" s="7"/>
    </row>
    <row r="33" spans="1:20" hidden="1" outlineLevel="1" x14ac:dyDescent="0.35">
      <c r="A33" s="985"/>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7"/>
      <c r="T33" s="7"/>
    </row>
    <row r="34" spans="1:20" ht="4.5" hidden="1" customHeight="1" outlineLevel="1" x14ac:dyDescent="0.35">
      <c r="A34" s="47"/>
      <c r="B34" s="26"/>
      <c r="C34" s="12"/>
      <c r="D34" s="12"/>
      <c r="E34" s="12"/>
      <c r="F34" s="12"/>
      <c r="G34" s="12"/>
      <c r="H34" s="12"/>
      <c r="I34" s="12"/>
      <c r="J34" s="12"/>
      <c r="K34" s="12"/>
      <c r="L34" s="12"/>
      <c r="M34" s="12"/>
      <c r="N34" s="12"/>
      <c r="O34" s="12"/>
      <c r="P34" s="12"/>
      <c r="Q34" s="12"/>
      <c r="R34" s="12"/>
      <c r="S34" s="7"/>
      <c r="T34" s="7"/>
    </row>
    <row r="35" spans="1:20" hidden="1" outlineLevel="1" x14ac:dyDescent="0.35">
      <c r="A35" s="985" t="str">
        <f>'2. Tulud-kulud projektiga'!A35:A37</f>
        <v>Toode/teenus 8</v>
      </c>
      <c r="B35" s="50" t="str">
        <f>'2. Tulud-kulud projektiga'!B35</f>
        <v>Ühik 8</v>
      </c>
      <c r="C35" s="51">
        <f>'2. Tulud-kulud projektiga'!C35</f>
        <v>0</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7"/>
      <c r="T35" s="7"/>
    </row>
    <row r="36" spans="1:20" hidden="1" outlineLevel="1" x14ac:dyDescent="0.35">
      <c r="A36" s="985"/>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7"/>
      <c r="T36" s="7"/>
    </row>
    <row r="37" spans="1:20" hidden="1" outlineLevel="1" x14ac:dyDescent="0.35">
      <c r="A37" s="985"/>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7"/>
      <c r="T37" s="7"/>
    </row>
    <row r="38" spans="1:20" ht="4.5" hidden="1" customHeight="1" outlineLevel="1" x14ac:dyDescent="0.35">
      <c r="A38" s="47"/>
      <c r="B38" s="26"/>
      <c r="C38" s="12"/>
      <c r="D38" s="12"/>
      <c r="E38" s="12"/>
      <c r="F38" s="12"/>
      <c r="G38" s="12"/>
      <c r="H38" s="12"/>
      <c r="I38" s="12"/>
      <c r="J38" s="12"/>
      <c r="K38" s="12"/>
      <c r="L38" s="12"/>
      <c r="M38" s="12"/>
      <c r="N38" s="12"/>
      <c r="O38" s="12"/>
      <c r="P38" s="12"/>
      <c r="Q38" s="12"/>
      <c r="R38" s="12"/>
      <c r="S38" s="7"/>
      <c r="T38" s="7"/>
    </row>
    <row r="39" spans="1:20" hidden="1" outlineLevel="1" x14ac:dyDescent="0.35">
      <c r="A39" s="985" t="str">
        <f>'2. Tulud-kulud projektiga'!A39:A41</f>
        <v>Toode/teenus 9</v>
      </c>
      <c r="B39" s="50" t="str">
        <f>'2. Tulud-kulud projektiga'!B39</f>
        <v>Ühik 9</v>
      </c>
      <c r="C39" s="51">
        <f>'2. Tulud-kulud projektiga'!C39</f>
        <v>0</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outlineLevel="1" x14ac:dyDescent="0.35">
      <c r="A40" s="985"/>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outlineLevel="1" x14ac:dyDescent="0.35">
      <c r="A41" s="985"/>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hidden="1" customHeight="1" outlineLevel="1" x14ac:dyDescent="0.35">
      <c r="A42" s="47"/>
      <c r="B42" s="26"/>
      <c r="C42" s="12"/>
      <c r="D42" s="12"/>
      <c r="E42" s="12"/>
      <c r="F42" s="12"/>
      <c r="G42" s="12"/>
      <c r="H42" s="12"/>
      <c r="I42" s="12"/>
      <c r="J42" s="12"/>
      <c r="K42" s="12"/>
      <c r="L42" s="12"/>
      <c r="M42" s="12"/>
      <c r="N42" s="12"/>
      <c r="O42" s="12"/>
      <c r="P42" s="12"/>
      <c r="Q42" s="12"/>
      <c r="R42" s="12"/>
      <c r="S42" s="7"/>
      <c r="T42" s="7"/>
    </row>
    <row r="43" spans="1:20" hidden="1" outlineLevel="1" x14ac:dyDescent="0.35">
      <c r="A43" s="985" t="str">
        <f>'2. Tulud-kulud projektiga'!A43:A45</f>
        <v>Toode/teenus 10</v>
      </c>
      <c r="B43" s="50" t="str">
        <f>'2. Tulud-kulud projektiga'!B43</f>
        <v>Ühik 10</v>
      </c>
      <c r="C43" s="51">
        <f>'2. Tulud-kulud projektiga'!C43</f>
        <v>0</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7"/>
      <c r="T43" s="7"/>
    </row>
    <row r="44" spans="1:20" hidden="1" outlineLevel="1" x14ac:dyDescent="0.35">
      <c r="A44" s="985"/>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7"/>
      <c r="T44" s="7"/>
    </row>
    <row r="45" spans="1:20" hidden="1" outlineLevel="1" x14ac:dyDescent="0.35">
      <c r="A45" s="985"/>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7"/>
      <c r="T45" s="7"/>
    </row>
    <row r="46" spans="1:20" ht="12" customHeight="1" collapsed="1" x14ac:dyDescent="0.35">
      <c r="A46" s="15"/>
      <c r="B46" s="26"/>
      <c r="C46" s="12"/>
      <c r="D46" s="12"/>
      <c r="E46" s="12"/>
      <c r="F46" s="12"/>
      <c r="G46" s="12"/>
      <c r="H46" s="12"/>
      <c r="I46" s="12"/>
      <c r="J46" s="12"/>
      <c r="K46" s="12"/>
      <c r="L46" s="12"/>
      <c r="M46" s="12"/>
      <c r="N46" s="12"/>
      <c r="O46" s="12"/>
      <c r="P46" s="12"/>
      <c r="Q46" s="12"/>
      <c r="R46" s="12"/>
      <c r="S46" s="7"/>
      <c r="T46" s="7"/>
    </row>
    <row r="47" spans="1:20" ht="18.75" customHeight="1" x14ac:dyDescent="0.35">
      <c r="A47" s="981" t="str">
        <f>'2. Tulud-kulud projektiga'!A47:B47</f>
        <v>Tulu üürnikelt otseste kommunaalteenuste eest</v>
      </c>
      <c r="B47" s="982"/>
      <c r="C47" s="53" t="s">
        <v>3</v>
      </c>
      <c r="D47" s="11">
        <f>'2. Tulud-kulud projektiga'!D47-'3. Tulud-kulud projektita'!D47</f>
        <v>0</v>
      </c>
      <c r="E47" s="11">
        <f>'2. Tulud-kulud projektiga'!E47-'3. Tulud-kulud projektita'!E47</f>
        <v>0</v>
      </c>
      <c r="F47" s="11">
        <f>'2. Tulud-kulud projektiga'!F47-'3. Tulud-kulud projektita'!F47</f>
        <v>54337.098012000024</v>
      </c>
      <c r="G47" s="11">
        <f>'2. Tulud-kulud projektiga'!G47-'3. Tulud-kulud projektita'!G47</f>
        <v>54337.098012000024</v>
      </c>
      <c r="H47" s="11">
        <f>'2. Tulud-kulud projektiga'!H47-'3. Tulud-kulud projektita'!H47</f>
        <v>54337.098012000024</v>
      </c>
      <c r="I47" s="11">
        <f>'2. Tulud-kulud projektiga'!I47-'3. Tulud-kulud projektita'!I47</f>
        <v>54337.098012000024</v>
      </c>
      <c r="J47" s="11">
        <f>'2. Tulud-kulud projektiga'!J47-'3. Tulud-kulud projektita'!J47</f>
        <v>54337.098012000024</v>
      </c>
      <c r="K47" s="11">
        <f>'2. Tulud-kulud projektiga'!K47-'3. Tulud-kulud projektita'!K47</f>
        <v>54337.098012000024</v>
      </c>
      <c r="L47" s="11">
        <f>'2. Tulud-kulud projektiga'!L47-'3. Tulud-kulud projektita'!L47</f>
        <v>54337.098012000024</v>
      </c>
      <c r="M47" s="11">
        <f>'2. Tulud-kulud projektiga'!M47-'3. Tulud-kulud projektita'!M47</f>
        <v>54337.098012000024</v>
      </c>
      <c r="N47" s="11">
        <f>'2. Tulud-kulud projektiga'!N47-'3. Tulud-kulud projektita'!N47</f>
        <v>54337.098012000024</v>
      </c>
      <c r="O47" s="11">
        <f>'2. Tulud-kulud projektiga'!O47-'3. Tulud-kulud projektita'!O47</f>
        <v>54337.098012000024</v>
      </c>
      <c r="P47" s="11">
        <f>'2. Tulud-kulud projektiga'!P47-'3. Tulud-kulud projektita'!P47</f>
        <v>54337.098012000024</v>
      </c>
      <c r="Q47" s="11">
        <f>'2. Tulud-kulud projektiga'!Q47-'3. Tulud-kulud projektita'!Q47</f>
        <v>54337.098012000024</v>
      </c>
      <c r="R47" s="11">
        <f>'2. Tulud-kulud projektiga'!R47-'3. Tulud-kulud projektita'!R47</f>
        <v>54337.098012000024</v>
      </c>
      <c r="S47" s="7"/>
      <c r="T47" s="7"/>
    </row>
    <row r="48" spans="1:20" ht="18.75" customHeight="1" x14ac:dyDescent="0.35">
      <c r="A48" s="981" t="str">
        <f>'2. Tulud-kulud projektiga'!A48:B48</f>
        <v>Tulu üürnikelt jagatud kulude eest</v>
      </c>
      <c r="B48" s="982"/>
      <c r="C48" s="53" t="s">
        <v>3</v>
      </c>
      <c r="D48" s="11">
        <f>'2. Tulud-kulud projektiga'!D48-'3. Tulud-kulud projektita'!D48</f>
        <v>0</v>
      </c>
      <c r="E48" s="11">
        <f>'2. Tulud-kulud projektiga'!E48-'3. Tulud-kulud projektita'!E48</f>
        <v>0</v>
      </c>
      <c r="F48" s="11">
        <f>'2. Tulud-kulud projektiga'!F48-'3. Tulud-kulud projektita'!F48</f>
        <v>23186.134035999999</v>
      </c>
      <c r="G48" s="11">
        <f>'2. Tulud-kulud projektiga'!G48-'3. Tulud-kulud projektita'!G48</f>
        <v>23186.134035999999</v>
      </c>
      <c r="H48" s="11">
        <f>'2. Tulud-kulud projektiga'!H48-'3. Tulud-kulud projektita'!H48</f>
        <v>23186.134035999999</v>
      </c>
      <c r="I48" s="11">
        <f>'2. Tulud-kulud projektiga'!I48-'3. Tulud-kulud projektita'!I48</f>
        <v>23186.134035999999</v>
      </c>
      <c r="J48" s="11">
        <f>'2. Tulud-kulud projektiga'!J48-'3. Tulud-kulud projektita'!J48</f>
        <v>23186.134035999999</v>
      </c>
      <c r="K48" s="11">
        <f>'2. Tulud-kulud projektiga'!K48-'3. Tulud-kulud projektita'!K48</f>
        <v>23186.134035999999</v>
      </c>
      <c r="L48" s="11">
        <f>'2. Tulud-kulud projektiga'!L48-'3. Tulud-kulud projektita'!L48</f>
        <v>23186.134035999999</v>
      </c>
      <c r="M48" s="11">
        <f>'2. Tulud-kulud projektiga'!M48-'3. Tulud-kulud projektita'!M48</f>
        <v>23186.134035999999</v>
      </c>
      <c r="N48" s="11">
        <f>'2. Tulud-kulud projektiga'!N48-'3. Tulud-kulud projektita'!N48</f>
        <v>23186.134035999999</v>
      </c>
      <c r="O48" s="11">
        <f>'2. Tulud-kulud projektiga'!O48-'3. Tulud-kulud projektita'!O48</f>
        <v>23186.134035999999</v>
      </c>
      <c r="P48" s="11">
        <f>'2. Tulud-kulud projektiga'!P48-'3. Tulud-kulud projektita'!P48</f>
        <v>23186.134035999999</v>
      </c>
      <c r="Q48" s="11">
        <f>'2. Tulud-kulud projektiga'!Q48-'3. Tulud-kulud projektita'!Q48</f>
        <v>23186.134035999999</v>
      </c>
      <c r="R48" s="11">
        <f>'2. Tulud-kulud projektiga'!R48-'3. Tulud-kulud projektita'!R48</f>
        <v>23186.134035999999</v>
      </c>
      <c r="S48" s="7"/>
      <c r="T48" s="7"/>
    </row>
    <row r="49" spans="1:21" ht="18.75" customHeight="1" x14ac:dyDescent="0.35">
      <c r="A49" s="981" t="str">
        <f>'2. Tulud-kulud projektiga'!A49:B49</f>
        <v>Muu tulu (nimetage)</v>
      </c>
      <c r="B49" s="982"/>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customHeight="1" x14ac:dyDescent="0.35">
      <c r="A50" s="981" t="str">
        <f>'2. Tulud-kulud projektiga'!A50:B50</f>
        <v>Muu tulu (nimetage)</v>
      </c>
      <c r="B50" s="982"/>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customHeight="1" x14ac:dyDescent="0.35">
      <c r="A51" s="981" t="str">
        <f>'2. Tulud-kulud projektiga'!A51:B51</f>
        <v>Muu tulu (nimetage)</v>
      </c>
      <c r="B51" s="982"/>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customHeight="1" x14ac:dyDescent="0.35">
      <c r="A52" s="4"/>
      <c r="B52" s="25"/>
      <c r="C52" s="9"/>
      <c r="D52" s="9"/>
      <c r="E52" s="9"/>
      <c r="F52" s="9"/>
      <c r="G52" s="9"/>
      <c r="H52" s="9"/>
      <c r="I52" s="9"/>
      <c r="J52" s="9"/>
      <c r="K52" s="9"/>
      <c r="L52" s="9"/>
      <c r="M52" s="9"/>
      <c r="N52" s="9"/>
      <c r="O52" s="9"/>
      <c r="P52" s="9"/>
      <c r="Q52" s="9"/>
      <c r="R52" s="9"/>
      <c r="S52" s="7"/>
      <c r="T52" s="7"/>
    </row>
    <row r="53" spans="1:21" s="3" customFormat="1" ht="21" customHeight="1" x14ac:dyDescent="0.35">
      <c r="A53" s="983" t="s">
        <v>73</v>
      </c>
      <c r="B53" s="984"/>
      <c r="C53" s="48" t="s">
        <v>3</v>
      </c>
      <c r="D53" s="58">
        <f t="shared" ref="D53" si="4">D9+D13+D17+D21+D25+D29+D33+D37+D41+D45+D47+D48+D49+D50+D51</f>
        <v>0</v>
      </c>
      <c r="E53" s="58">
        <f t="shared" ref="E53:R53" si="5">E9+E13+E17+E21+E25+E29+E33+E37+E41+E45+E47+E48+E49+E50+E51</f>
        <v>0</v>
      </c>
      <c r="F53" s="58">
        <f t="shared" si="5"/>
        <v>262569.23204800009</v>
      </c>
      <c r="G53" s="58">
        <f t="shared" si="5"/>
        <v>262569.23204800009</v>
      </c>
      <c r="H53" s="58">
        <f t="shared" si="5"/>
        <v>262569.23204800009</v>
      </c>
      <c r="I53" s="58">
        <f t="shared" si="5"/>
        <v>262569.23204800009</v>
      </c>
      <c r="J53" s="58">
        <f t="shared" si="5"/>
        <v>262569.23204800009</v>
      </c>
      <c r="K53" s="58">
        <f t="shared" si="5"/>
        <v>262569.23204800009</v>
      </c>
      <c r="L53" s="58">
        <f t="shared" si="5"/>
        <v>262569.23204800009</v>
      </c>
      <c r="M53" s="58">
        <f t="shared" si="5"/>
        <v>262569.23204800009</v>
      </c>
      <c r="N53" s="58">
        <f t="shared" si="5"/>
        <v>262569.23204800009</v>
      </c>
      <c r="O53" s="58">
        <f t="shared" si="5"/>
        <v>262569.23204800009</v>
      </c>
      <c r="P53" s="58">
        <f t="shared" si="5"/>
        <v>262569.23204800009</v>
      </c>
      <c r="Q53" s="58">
        <f t="shared" si="5"/>
        <v>262569.23204800009</v>
      </c>
      <c r="R53" s="58">
        <f t="shared" si="5"/>
        <v>262569.23204800009</v>
      </c>
      <c r="S53" s="8"/>
      <c r="T53" s="8"/>
    </row>
    <row r="54" spans="1:21" ht="4.5" customHeight="1" x14ac:dyDescent="0.35">
      <c r="A54" s="4"/>
      <c r="B54" s="25"/>
      <c r="C54" s="9"/>
      <c r="D54" s="9"/>
      <c r="E54" s="9"/>
      <c r="F54" s="9"/>
      <c r="G54" s="9"/>
      <c r="H54" s="9"/>
      <c r="I54" s="9"/>
      <c r="J54" s="9"/>
      <c r="K54" s="9"/>
      <c r="L54" s="9"/>
      <c r="M54" s="9"/>
      <c r="N54" s="9"/>
      <c r="O54" s="9"/>
      <c r="P54" s="9"/>
      <c r="Q54" s="9"/>
      <c r="R54" s="9"/>
      <c r="S54" s="7"/>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5" x14ac:dyDescent="0.35">
      <c r="A56" s="5" t="s">
        <v>75</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7"/>
      <c r="T57" s="7"/>
    </row>
    <row r="58" spans="1:21" x14ac:dyDescent="0.35">
      <c r="A58" s="985" t="s">
        <v>18</v>
      </c>
      <c r="B58" s="50" t="str">
        <f>'2. Tulud-kulud projektiga'!B58</f>
        <v>Haldusjuht</v>
      </c>
      <c r="C58" s="51" t="s">
        <v>3</v>
      </c>
      <c r="D58" s="11">
        <f>'2. Tulud-kulud projektiga'!D58-'3. Tulud-kulud projektita'!D58</f>
        <v>0</v>
      </c>
      <c r="E58" s="11">
        <f>'2. Tulud-kulud projektiga'!E58-'3. Tulud-kulud projektita'!E58</f>
        <v>6645</v>
      </c>
      <c r="F58" s="11">
        <f>'2. Tulud-kulud projektiga'!F58-'3. Tulud-kulud projektita'!F58</f>
        <v>13290</v>
      </c>
      <c r="G58" s="11">
        <f>'2. Tulud-kulud projektiga'!G58-'3. Tulud-kulud projektita'!G58</f>
        <v>13954.5</v>
      </c>
      <c r="H58" s="11">
        <f>'2. Tulud-kulud projektiga'!H58-'3. Tulud-kulud projektita'!H58</f>
        <v>13954.5</v>
      </c>
      <c r="I58" s="11">
        <f>'2. Tulud-kulud projektiga'!I58-'3. Tulud-kulud projektita'!I58</f>
        <v>14652.225</v>
      </c>
      <c r="J58" s="11">
        <f>'2. Tulud-kulud projektiga'!J58-'3. Tulud-kulud projektita'!J58</f>
        <v>14652.225</v>
      </c>
      <c r="K58" s="11">
        <f>'2. Tulud-kulud projektiga'!K58-'3. Tulud-kulud projektita'!K58</f>
        <v>14652.225</v>
      </c>
      <c r="L58" s="11">
        <f>'2. Tulud-kulud projektiga'!L58-'3. Tulud-kulud projektita'!L58</f>
        <v>14652.225</v>
      </c>
      <c r="M58" s="11">
        <f>'2. Tulud-kulud projektiga'!M58-'3. Tulud-kulud projektita'!M58</f>
        <v>14652.225</v>
      </c>
      <c r="N58" s="11">
        <f>'2. Tulud-kulud projektiga'!N58-'3. Tulud-kulud projektita'!N58</f>
        <v>14652.225</v>
      </c>
      <c r="O58" s="11">
        <f>'2. Tulud-kulud projektiga'!O58-'3. Tulud-kulud projektita'!O58</f>
        <v>14652.225</v>
      </c>
      <c r="P58" s="11">
        <f>'2. Tulud-kulud projektiga'!P58-'3. Tulud-kulud projektita'!P58</f>
        <v>14652.225</v>
      </c>
      <c r="Q58" s="11">
        <f>'2. Tulud-kulud projektiga'!Q58-'3. Tulud-kulud projektita'!Q58</f>
        <v>14652.225</v>
      </c>
      <c r="R58" s="11">
        <f>'2. Tulud-kulud projektiga'!R58-'3. Tulud-kulud projektita'!R58</f>
        <v>14652.225</v>
      </c>
      <c r="S58" s="16"/>
      <c r="T58" s="16"/>
      <c r="U58" s="17"/>
    </row>
    <row r="59" spans="1:21" x14ac:dyDescent="0.35">
      <c r="A59" s="985"/>
      <c r="B59" s="50" t="str">
        <f>'2. Tulud-kulud projektiga'!B59</f>
        <v>Soft-landing konsultant</v>
      </c>
      <c r="C59" s="51" t="s">
        <v>3</v>
      </c>
      <c r="D59" s="11">
        <f>'2. Tulud-kulud projektiga'!D59-'3. Tulud-kulud projektita'!D59</f>
        <v>0</v>
      </c>
      <c r="E59" s="11">
        <f>'2. Tulud-kulud projektiga'!E59-'3. Tulud-kulud projektita'!E59</f>
        <v>16950</v>
      </c>
      <c r="F59" s="11">
        <f>'2. Tulud-kulud projektiga'!F59-'3. Tulud-kulud projektita'!F59</f>
        <v>33900</v>
      </c>
      <c r="G59" s="11">
        <f>'2. Tulud-kulud projektiga'!G59-'3. Tulud-kulud projektita'!G59</f>
        <v>35640</v>
      </c>
      <c r="H59" s="11">
        <f>'2. Tulud-kulud projektiga'!H59-'3. Tulud-kulud projektita'!H59</f>
        <v>37452</v>
      </c>
      <c r="I59" s="11">
        <f>'2. Tulud-kulud projektiga'!I59-'3. Tulud-kulud projektita'!I59</f>
        <v>37452</v>
      </c>
      <c r="J59" s="11">
        <f>'2. Tulud-kulud projektiga'!J59-'3. Tulud-kulud projektita'!J59</f>
        <v>37452</v>
      </c>
      <c r="K59" s="11">
        <f>'2. Tulud-kulud projektiga'!K59-'3. Tulud-kulud projektita'!K59</f>
        <v>37452</v>
      </c>
      <c r="L59" s="11">
        <f>'2. Tulud-kulud projektiga'!L59-'3. Tulud-kulud projektita'!L59</f>
        <v>37452</v>
      </c>
      <c r="M59" s="11">
        <f>'2. Tulud-kulud projektiga'!M59-'3. Tulud-kulud projektita'!M59</f>
        <v>37452</v>
      </c>
      <c r="N59" s="11">
        <f>'2. Tulud-kulud projektiga'!N59-'3. Tulud-kulud projektita'!N59</f>
        <v>37452</v>
      </c>
      <c r="O59" s="11">
        <f>'2. Tulud-kulud projektiga'!O59-'3. Tulud-kulud projektita'!O59</f>
        <v>37452</v>
      </c>
      <c r="P59" s="11">
        <f>'2. Tulud-kulud projektiga'!P59-'3. Tulud-kulud projektita'!P59</f>
        <v>37452</v>
      </c>
      <c r="Q59" s="11">
        <f>'2. Tulud-kulud projektiga'!Q59-'3. Tulud-kulud projektita'!Q59</f>
        <v>37452</v>
      </c>
      <c r="R59" s="11">
        <f>'2. Tulud-kulud projektiga'!R59-'3. Tulud-kulud projektita'!R59</f>
        <v>37452</v>
      </c>
      <c r="S59" s="16"/>
      <c r="T59" s="16"/>
      <c r="U59" s="17"/>
    </row>
    <row r="60" spans="1:21" x14ac:dyDescent="0.35">
      <c r="A60" s="985"/>
      <c r="B60" s="50" t="str">
        <f>'2. Tulud-kulud projektiga'!B60</f>
        <v>Turundusjuht</v>
      </c>
      <c r="C60" s="51" t="s">
        <v>3</v>
      </c>
      <c r="D60" s="11">
        <f>'2. Tulud-kulud projektiga'!D60-'3. Tulud-kulud projektita'!D60</f>
        <v>0</v>
      </c>
      <c r="E60" s="11">
        <f>'2. Tulud-kulud projektiga'!E60-'3. Tulud-kulud projektita'!E60</f>
        <v>20580</v>
      </c>
      <c r="F60" s="11">
        <f>'2. Tulud-kulud projektiga'!F60-'3. Tulud-kulud projektita'!F60</f>
        <v>20580</v>
      </c>
      <c r="G60" s="11">
        <f>'2. Tulud-kulud projektiga'!G60-'3. Tulud-kulud projektita'!G60</f>
        <v>21636</v>
      </c>
      <c r="H60" s="11">
        <f>'2. Tulud-kulud projektiga'!H60-'3. Tulud-kulud projektita'!H60</f>
        <v>22740</v>
      </c>
      <c r="I60" s="11">
        <f>'2. Tulud-kulud projektiga'!I60-'3. Tulud-kulud projektita'!I60</f>
        <v>22740</v>
      </c>
      <c r="J60" s="11">
        <f>'2. Tulud-kulud projektiga'!J60-'3. Tulud-kulud projektita'!J60</f>
        <v>22740</v>
      </c>
      <c r="K60" s="11">
        <f>'2. Tulud-kulud projektiga'!K60-'3. Tulud-kulud projektita'!K60</f>
        <v>22740</v>
      </c>
      <c r="L60" s="11">
        <f>'2. Tulud-kulud projektiga'!L60-'3. Tulud-kulud projektita'!L60</f>
        <v>22740</v>
      </c>
      <c r="M60" s="11">
        <f>'2. Tulud-kulud projektiga'!M60-'3. Tulud-kulud projektita'!M60</f>
        <v>22740</v>
      </c>
      <c r="N60" s="11">
        <f>'2. Tulud-kulud projektiga'!N60-'3. Tulud-kulud projektita'!N60</f>
        <v>22740</v>
      </c>
      <c r="O60" s="11">
        <f>'2. Tulud-kulud projektiga'!O60-'3. Tulud-kulud projektita'!O60</f>
        <v>22740</v>
      </c>
      <c r="P60" s="11">
        <f>'2. Tulud-kulud projektiga'!P60-'3. Tulud-kulud projektita'!P60</f>
        <v>22740</v>
      </c>
      <c r="Q60" s="11">
        <f>'2. Tulud-kulud projektiga'!Q60-'3. Tulud-kulud projektita'!Q60</f>
        <v>22740</v>
      </c>
      <c r="R60" s="11">
        <f>'2. Tulud-kulud projektiga'!R60-'3. Tulud-kulud projektita'!R60</f>
        <v>22740</v>
      </c>
      <c r="S60" s="16"/>
      <c r="T60" s="16"/>
      <c r="U60" s="17"/>
    </row>
    <row r="61" spans="1:21" x14ac:dyDescent="0.35">
      <c r="A61" s="985"/>
      <c r="B61" s="50" t="str">
        <f>'2. Tulud-kulud projektiga'!B61</f>
        <v>Töötaja 4</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0</v>
      </c>
      <c r="I61" s="11">
        <f>'2. Tulud-kulud projektiga'!I61-'3. Tulud-kulud projektita'!I61</f>
        <v>0</v>
      </c>
      <c r="J61" s="11">
        <f>'2. Tulud-kulud projektiga'!J61-'3. Tulud-kulud projektita'!J61</f>
        <v>0</v>
      </c>
      <c r="K61" s="11">
        <f>'2. Tulud-kulud projektiga'!K61-'3. Tulud-kulud projektita'!K61</f>
        <v>0</v>
      </c>
      <c r="L61" s="11">
        <f>'2. Tulud-kulud projektiga'!L61-'3. Tulud-kulud projektita'!L61</f>
        <v>0</v>
      </c>
      <c r="M61" s="11">
        <f>'2. Tulud-kulud projektiga'!M61-'3. Tulud-kulud projektita'!M61</f>
        <v>0</v>
      </c>
      <c r="N61" s="11">
        <f>'2. Tulud-kulud projektiga'!N61-'3. Tulud-kulud projektita'!N61</f>
        <v>0</v>
      </c>
      <c r="O61" s="11">
        <f>'2. Tulud-kulud projektiga'!O61-'3. Tulud-kulud projektita'!O61</f>
        <v>0</v>
      </c>
      <c r="P61" s="11">
        <f>'2. Tulud-kulud projektiga'!P61-'3. Tulud-kulud projektita'!P61</f>
        <v>0</v>
      </c>
      <c r="Q61" s="11">
        <f>'2. Tulud-kulud projektiga'!Q61-'3. Tulud-kulud projektita'!Q61</f>
        <v>0</v>
      </c>
      <c r="R61" s="11">
        <f>'2. Tulud-kulud projektiga'!R61-'3. Tulud-kulud projektita'!R61</f>
        <v>0</v>
      </c>
      <c r="S61" s="16"/>
      <c r="T61" s="16"/>
      <c r="U61" s="17"/>
    </row>
    <row r="62" spans="1:21" x14ac:dyDescent="0.35">
      <c r="A62" s="985"/>
      <c r="B62" s="50" t="str">
        <f>'2. Tulud-kulud projektiga'!B62</f>
        <v>Töötaja 5</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x14ac:dyDescent="0.35">
      <c r="A63" s="985"/>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x14ac:dyDescent="0.35">
      <c r="A64" s="985"/>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x14ac:dyDescent="0.35">
      <c r="A65" s="985"/>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x14ac:dyDescent="0.35">
      <c r="A66" s="985"/>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x14ac:dyDescent="0.35">
      <c r="A67" s="985"/>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outlineLevel="1" x14ac:dyDescent="0.35">
      <c r="A68" s="985"/>
      <c r="B68" s="50">
        <f>'2. Tulud-kulud projektiga'!B68</f>
        <v>0</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outlineLevel="1" x14ac:dyDescent="0.35">
      <c r="A69" s="985"/>
      <c r="B69" s="50" t="str">
        <f>'2. Tulud-kulud projektiga'!B69</f>
        <v>Töötaja 12</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outlineLevel="1" x14ac:dyDescent="0.35">
      <c r="A70" s="985"/>
      <c r="B70" s="50" t="str">
        <f>'2. Tulud-kulud projektiga'!B70</f>
        <v>Töötaja 13</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outlineLevel="1" x14ac:dyDescent="0.35">
      <c r="A71" s="985"/>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outlineLevel="1" x14ac:dyDescent="0.35">
      <c r="A72" s="985"/>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outlineLevel="1" x14ac:dyDescent="0.35">
      <c r="A73" s="985"/>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outlineLevel="1" x14ac:dyDescent="0.35">
      <c r="A74" s="985"/>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outlineLevel="1" x14ac:dyDescent="0.35">
      <c r="A75" s="985"/>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outlineLevel="1" x14ac:dyDescent="0.35">
      <c r="A76" s="985"/>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outlineLevel="1" x14ac:dyDescent="0.35">
      <c r="A77" s="985"/>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collapsed="1" x14ac:dyDescent="0.35">
      <c r="A78" s="985"/>
      <c r="B78" s="50" t="s">
        <v>27</v>
      </c>
      <c r="C78" s="51" t="s">
        <v>3</v>
      </c>
      <c r="D78" s="56">
        <f>'2. Tulud-kulud projektiga'!D78-'3. Tulud-kulud projektita'!D78</f>
        <v>0</v>
      </c>
      <c r="E78" s="56">
        <f>'2. Tulud-kulud projektiga'!E78-'3. Tulud-kulud projektita'!E78</f>
        <v>44175</v>
      </c>
      <c r="F78" s="56">
        <f>'2. Tulud-kulud projektiga'!F78-'3. Tulud-kulud projektita'!F78</f>
        <v>67770</v>
      </c>
      <c r="G78" s="56">
        <f>'2. Tulud-kulud projektiga'!G78-'3. Tulud-kulud projektita'!G78</f>
        <v>71230.5</v>
      </c>
      <c r="H78" s="56">
        <f>'2. Tulud-kulud projektiga'!H78-'3. Tulud-kulud projektita'!H78</f>
        <v>74146.5</v>
      </c>
      <c r="I78" s="56">
        <f>'2. Tulud-kulud projektiga'!I78-'3. Tulud-kulud projektita'!I78</f>
        <v>74844.225000000006</v>
      </c>
      <c r="J78" s="56">
        <f>'2. Tulud-kulud projektiga'!J78-'3. Tulud-kulud projektita'!J78</f>
        <v>74844.225000000006</v>
      </c>
      <c r="K78" s="56">
        <f>'2. Tulud-kulud projektiga'!K78-'3. Tulud-kulud projektita'!K78</f>
        <v>74844.225000000006</v>
      </c>
      <c r="L78" s="56">
        <f>'2. Tulud-kulud projektiga'!L78-'3. Tulud-kulud projektita'!L78</f>
        <v>74844.225000000006</v>
      </c>
      <c r="M78" s="56">
        <f>'2. Tulud-kulud projektiga'!M78-'3. Tulud-kulud projektita'!M78</f>
        <v>74844.225000000006</v>
      </c>
      <c r="N78" s="56">
        <f>'2. Tulud-kulud projektiga'!N78-'3. Tulud-kulud projektita'!N78</f>
        <v>74844.225000000006</v>
      </c>
      <c r="O78" s="56">
        <f>'2. Tulud-kulud projektiga'!O78-'3. Tulud-kulud projektita'!O78</f>
        <v>74844.225000000006</v>
      </c>
      <c r="P78" s="56">
        <f>'2. Tulud-kulud projektiga'!P78-'3. Tulud-kulud projektita'!P78</f>
        <v>74844.225000000006</v>
      </c>
      <c r="Q78" s="56">
        <f>'2. Tulud-kulud projektiga'!Q78-'3. Tulud-kulud projektita'!Q78</f>
        <v>74844.225000000006</v>
      </c>
      <c r="R78" s="56">
        <f>'2. Tulud-kulud projektiga'!R78-'3. Tulud-kulud projektita'!R78</f>
        <v>74844.225000000006</v>
      </c>
      <c r="S78" s="16"/>
      <c r="T78" s="16"/>
      <c r="U78" s="17"/>
    </row>
    <row r="79" spans="1:21" x14ac:dyDescent="0.35">
      <c r="A79" s="985"/>
      <c r="B79" s="50" t="s">
        <v>26</v>
      </c>
      <c r="C79" s="55"/>
      <c r="D79" s="56">
        <f>'2. Tulud-kulud projektiga'!D79-'3. Tulud-kulud projektita'!D79</f>
        <v>0</v>
      </c>
      <c r="E79" s="56">
        <f>'2. Tulud-kulud projektiga'!E79-'3. Tulud-kulud projektita'!E79</f>
        <v>14931.150000000001</v>
      </c>
      <c r="F79" s="56">
        <f>'2. Tulud-kulud projektiga'!F79-'3. Tulud-kulud projektita'!F79</f>
        <v>22906.260000000002</v>
      </c>
      <c r="G79" s="56">
        <f>'2. Tulud-kulud projektiga'!G79-'3. Tulud-kulud projektita'!G79</f>
        <v>24075.909000000003</v>
      </c>
      <c r="H79" s="56">
        <f>'2. Tulud-kulud projektiga'!H79-'3. Tulud-kulud projektita'!H79</f>
        <v>25061.517000000003</v>
      </c>
      <c r="I79" s="56">
        <f>'2. Tulud-kulud projektiga'!I79-'3. Tulud-kulud projektita'!I79</f>
        <v>25297.348050000004</v>
      </c>
      <c r="J79" s="56">
        <f>'2. Tulud-kulud projektiga'!J79-'3. Tulud-kulud projektita'!J79</f>
        <v>25297.348050000004</v>
      </c>
      <c r="K79" s="56">
        <f>'2. Tulud-kulud projektiga'!K79-'3. Tulud-kulud projektita'!K79</f>
        <v>25297.348050000004</v>
      </c>
      <c r="L79" s="56">
        <f>'2. Tulud-kulud projektiga'!L79-'3. Tulud-kulud projektita'!L79</f>
        <v>25297.348050000004</v>
      </c>
      <c r="M79" s="56">
        <f>'2. Tulud-kulud projektiga'!M79-'3. Tulud-kulud projektita'!M79</f>
        <v>25297.348050000004</v>
      </c>
      <c r="N79" s="56">
        <f>'2. Tulud-kulud projektiga'!N79-'3. Tulud-kulud projektita'!N79</f>
        <v>25297.348050000004</v>
      </c>
      <c r="O79" s="56">
        <f>'2. Tulud-kulud projektiga'!O79-'3. Tulud-kulud projektita'!O79</f>
        <v>25297.348050000004</v>
      </c>
      <c r="P79" s="56">
        <f>'2. Tulud-kulud projektiga'!P79-'3. Tulud-kulud projektita'!P79</f>
        <v>25297.348050000004</v>
      </c>
      <c r="Q79" s="56">
        <f>'2. Tulud-kulud projektiga'!Q79-'3. Tulud-kulud projektita'!Q79</f>
        <v>25297.348050000004</v>
      </c>
      <c r="R79" s="56">
        <f>'2. Tulud-kulud projektiga'!R79-'3. Tulud-kulud projektita'!R79</f>
        <v>25297.348050000004</v>
      </c>
      <c r="S79" s="16"/>
      <c r="T79" s="16"/>
      <c r="U79" s="17"/>
    </row>
    <row r="80" spans="1:21" x14ac:dyDescent="0.35">
      <c r="A80" s="975" t="s">
        <v>28</v>
      </c>
      <c r="B80" s="976"/>
      <c r="C80" s="49"/>
      <c r="D80" s="59">
        <f>'2. Tulud-kulud projektiga'!D80-'3. Tulud-kulud projektita'!D80</f>
        <v>0</v>
      </c>
      <c r="E80" s="59">
        <f>'2. Tulud-kulud projektiga'!E80-'3. Tulud-kulud projektita'!E80</f>
        <v>59106.15</v>
      </c>
      <c r="F80" s="59">
        <f>'2. Tulud-kulud projektiga'!F80-'3. Tulud-kulud projektita'!F80</f>
        <v>90676.260000000009</v>
      </c>
      <c r="G80" s="59">
        <f>'2. Tulud-kulud projektiga'!G80-'3. Tulud-kulud projektita'!G80</f>
        <v>95306.409</v>
      </c>
      <c r="H80" s="59">
        <f>'2. Tulud-kulud projektiga'!H80-'3. Tulud-kulud projektita'!H80</f>
        <v>99208.017000000007</v>
      </c>
      <c r="I80" s="59">
        <f>'2. Tulud-kulud projektiga'!I80-'3. Tulud-kulud projektita'!I80</f>
        <v>100141.57305000001</v>
      </c>
      <c r="J80" s="59">
        <f>'2. Tulud-kulud projektiga'!J80-'3. Tulud-kulud projektita'!J80</f>
        <v>100141.57305000001</v>
      </c>
      <c r="K80" s="59">
        <f>'2. Tulud-kulud projektiga'!K80-'3. Tulud-kulud projektita'!K80</f>
        <v>100141.57305000001</v>
      </c>
      <c r="L80" s="59">
        <f>'2. Tulud-kulud projektiga'!L80-'3. Tulud-kulud projektita'!L80</f>
        <v>100141.57305000001</v>
      </c>
      <c r="M80" s="59">
        <f>'2. Tulud-kulud projektiga'!M80-'3. Tulud-kulud projektita'!M80</f>
        <v>100141.57305000001</v>
      </c>
      <c r="N80" s="59">
        <f>'2. Tulud-kulud projektiga'!N80-'3. Tulud-kulud projektita'!N80</f>
        <v>100141.57305000001</v>
      </c>
      <c r="O80" s="59">
        <f>'2. Tulud-kulud projektiga'!O80-'3. Tulud-kulud projektita'!O80</f>
        <v>100141.57305000001</v>
      </c>
      <c r="P80" s="59">
        <f>'2. Tulud-kulud projektiga'!P80-'3. Tulud-kulud projektita'!P80</f>
        <v>100141.57305000001</v>
      </c>
      <c r="Q80" s="59">
        <f>'2. Tulud-kulud projektiga'!Q80-'3. Tulud-kulud projektita'!Q80</f>
        <v>100141.57305000001</v>
      </c>
      <c r="R80" s="59">
        <f>'2. Tulud-kulud projektiga'!R80-'3. Tulud-kulud projektita'!R80</f>
        <v>100141.57305000001</v>
      </c>
      <c r="S80" s="16"/>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6"/>
      <c r="T81" s="16"/>
      <c r="U81" s="17"/>
    </row>
    <row r="82" spans="1:21" x14ac:dyDescent="0.35">
      <c r="A82" s="985" t="str">
        <f>'2. Tulud-kulud projektiga'!A82:A91</f>
        <v>Halduskulud</v>
      </c>
      <c r="B82" s="50" t="str">
        <f>'2. Tulud-kulud projektiga'!B82</f>
        <v>Küte</v>
      </c>
      <c r="C82" s="51" t="s">
        <v>3</v>
      </c>
      <c r="D82" s="11">
        <f>'2. Tulud-kulud projektiga'!D82-'3. Tulud-kulud projektita'!D82</f>
        <v>0</v>
      </c>
      <c r="E82" s="11">
        <f>'2. Tulud-kulud projektiga'!E82-'3. Tulud-kulud projektita'!E82</f>
        <v>0</v>
      </c>
      <c r="F82" s="11">
        <f>'2. Tulud-kulud projektiga'!F82-'3. Tulud-kulud projektita'!F82</f>
        <v>35092.073616000023</v>
      </c>
      <c r="G82" s="11">
        <f>'2. Tulud-kulud projektiga'!G82-'3. Tulud-kulud projektita'!G82</f>
        <v>35092.073616000023</v>
      </c>
      <c r="H82" s="11">
        <f>'2. Tulud-kulud projektiga'!H82-'3. Tulud-kulud projektita'!H82</f>
        <v>35092.073616000023</v>
      </c>
      <c r="I82" s="11">
        <f>'2. Tulud-kulud projektiga'!I82-'3. Tulud-kulud projektita'!I82</f>
        <v>35092.073616000023</v>
      </c>
      <c r="J82" s="11">
        <f>'2. Tulud-kulud projektiga'!J82-'3. Tulud-kulud projektita'!J82</f>
        <v>35092.073616000023</v>
      </c>
      <c r="K82" s="11">
        <f>'2. Tulud-kulud projektiga'!K82-'3. Tulud-kulud projektita'!K82</f>
        <v>35092.073616000023</v>
      </c>
      <c r="L82" s="11">
        <f>'2. Tulud-kulud projektiga'!L82-'3. Tulud-kulud projektita'!L82</f>
        <v>35092.073616000023</v>
      </c>
      <c r="M82" s="11">
        <f>'2. Tulud-kulud projektiga'!M82-'3. Tulud-kulud projektita'!M82</f>
        <v>35092.073616000023</v>
      </c>
      <c r="N82" s="11">
        <f>'2. Tulud-kulud projektiga'!N82-'3. Tulud-kulud projektita'!N82</f>
        <v>35092.073616000023</v>
      </c>
      <c r="O82" s="11">
        <f>'2. Tulud-kulud projektiga'!O82-'3. Tulud-kulud projektita'!O82</f>
        <v>35092.073616000023</v>
      </c>
      <c r="P82" s="11">
        <f>'2. Tulud-kulud projektiga'!P82-'3. Tulud-kulud projektita'!P82</f>
        <v>35092.073616000023</v>
      </c>
      <c r="Q82" s="11">
        <f>'2. Tulud-kulud projektiga'!Q82-'3. Tulud-kulud projektita'!Q82</f>
        <v>35092.073616000023</v>
      </c>
      <c r="R82" s="11">
        <f>'2. Tulud-kulud projektiga'!R82-'3. Tulud-kulud projektita'!R82</f>
        <v>35092.073616000023</v>
      </c>
      <c r="S82" s="16"/>
      <c r="T82" s="16"/>
      <c r="U82" s="17"/>
    </row>
    <row r="83" spans="1:21" x14ac:dyDescent="0.35">
      <c r="A83" s="985"/>
      <c r="B83" s="50" t="str">
        <f>'2. Tulud-kulud projektiga'!B83</f>
        <v>Valgustus</v>
      </c>
      <c r="C83" s="51" t="s">
        <v>3</v>
      </c>
      <c r="D83" s="11">
        <f>'2. Tulud-kulud projektiga'!D83-'3. Tulud-kulud projektita'!D83</f>
        <v>0</v>
      </c>
      <c r="E83" s="11">
        <f>'2. Tulud-kulud projektiga'!E83-'3. Tulud-kulud projektita'!E83</f>
        <v>0</v>
      </c>
      <c r="F83" s="11">
        <f>'2. Tulud-kulud projektiga'!F83-'3. Tulud-kulud projektita'!F83</f>
        <v>28596.67902000001</v>
      </c>
      <c r="G83" s="11">
        <f>'2. Tulud-kulud projektiga'!G83-'3. Tulud-kulud projektita'!G83</f>
        <v>28596.67902000001</v>
      </c>
      <c r="H83" s="11">
        <f>'2. Tulud-kulud projektiga'!H83-'3. Tulud-kulud projektita'!H83</f>
        <v>28596.67902000001</v>
      </c>
      <c r="I83" s="11">
        <f>'2. Tulud-kulud projektiga'!I83-'3. Tulud-kulud projektita'!I83</f>
        <v>28596.67902000001</v>
      </c>
      <c r="J83" s="11">
        <f>'2. Tulud-kulud projektiga'!J83-'3. Tulud-kulud projektita'!J83</f>
        <v>28596.67902000001</v>
      </c>
      <c r="K83" s="11">
        <f>'2. Tulud-kulud projektiga'!K83-'3. Tulud-kulud projektita'!K83</f>
        <v>28596.67902000001</v>
      </c>
      <c r="L83" s="11">
        <f>'2. Tulud-kulud projektiga'!L83-'3. Tulud-kulud projektita'!L83</f>
        <v>28596.67902000001</v>
      </c>
      <c r="M83" s="11">
        <f>'2. Tulud-kulud projektiga'!M83-'3. Tulud-kulud projektita'!M83</f>
        <v>28596.67902000001</v>
      </c>
      <c r="N83" s="11">
        <f>'2. Tulud-kulud projektiga'!N83-'3. Tulud-kulud projektita'!N83</f>
        <v>28596.67902000001</v>
      </c>
      <c r="O83" s="11">
        <f>'2. Tulud-kulud projektiga'!O83-'3. Tulud-kulud projektita'!O83</f>
        <v>28596.67902000001</v>
      </c>
      <c r="P83" s="11">
        <f>'2. Tulud-kulud projektiga'!P83-'3. Tulud-kulud projektita'!P83</f>
        <v>28596.67902000001</v>
      </c>
      <c r="Q83" s="11">
        <f>'2. Tulud-kulud projektiga'!Q83-'3. Tulud-kulud projektita'!Q83</f>
        <v>28596.67902000001</v>
      </c>
      <c r="R83" s="11">
        <f>'2. Tulud-kulud projektiga'!R83-'3. Tulud-kulud projektita'!R83</f>
        <v>28596.67902000001</v>
      </c>
      <c r="S83" s="16"/>
      <c r="T83" s="16"/>
      <c r="U83" s="17"/>
    </row>
    <row r="84" spans="1:21" x14ac:dyDescent="0.35">
      <c r="A84" s="985"/>
      <c r="B84" s="50" t="str">
        <f>'2. Tulud-kulud projektiga'!B84</f>
        <v>Vesi ja kanalisatsioon</v>
      </c>
      <c r="C84" s="51" t="s">
        <v>3</v>
      </c>
      <c r="D84" s="11">
        <f>'2. Tulud-kulud projektiga'!D84-'3. Tulud-kulud projektita'!D84</f>
        <v>0</v>
      </c>
      <c r="E84" s="11">
        <f>'2. Tulud-kulud projektiga'!E84-'3. Tulud-kulud projektita'!E84</f>
        <v>0</v>
      </c>
      <c r="F84" s="11">
        <f>'2. Tulud-kulud projektiga'!F84-'3. Tulud-kulud projektita'!F84</f>
        <v>4175.1359999999995</v>
      </c>
      <c r="G84" s="11">
        <f>'2. Tulud-kulud projektiga'!G84-'3. Tulud-kulud projektita'!G84</f>
        <v>4175.1359999999995</v>
      </c>
      <c r="H84" s="11">
        <f>'2. Tulud-kulud projektiga'!H84-'3. Tulud-kulud projektita'!H84</f>
        <v>4175.1359999999995</v>
      </c>
      <c r="I84" s="11">
        <f>'2. Tulud-kulud projektiga'!I84-'3. Tulud-kulud projektita'!I84</f>
        <v>4175.1359999999995</v>
      </c>
      <c r="J84" s="11">
        <f>'2. Tulud-kulud projektiga'!J84-'3. Tulud-kulud projektita'!J84</f>
        <v>4175.1359999999995</v>
      </c>
      <c r="K84" s="11">
        <f>'2. Tulud-kulud projektiga'!K84-'3. Tulud-kulud projektita'!K84</f>
        <v>4175.1359999999995</v>
      </c>
      <c r="L84" s="11">
        <f>'2. Tulud-kulud projektiga'!L84-'3. Tulud-kulud projektita'!L84</f>
        <v>4175.1359999999995</v>
      </c>
      <c r="M84" s="11">
        <f>'2. Tulud-kulud projektiga'!M84-'3. Tulud-kulud projektita'!M84</f>
        <v>4175.1359999999995</v>
      </c>
      <c r="N84" s="11">
        <f>'2. Tulud-kulud projektiga'!N84-'3. Tulud-kulud projektita'!N84</f>
        <v>4175.1359999999995</v>
      </c>
      <c r="O84" s="11">
        <f>'2. Tulud-kulud projektiga'!O84-'3. Tulud-kulud projektita'!O84</f>
        <v>4175.1359999999995</v>
      </c>
      <c r="P84" s="11">
        <f>'2. Tulud-kulud projektiga'!P84-'3. Tulud-kulud projektita'!P84</f>
        <v>4175.1359999999995</v>
      </c>
      <c r="Q84" s="11">
        <f>'2. Tulud-kulud projektiga'!Q84-'3. Tulud-kulud projektita'!Q84</f>
        <v>4175.1359999999995</v>
      </c>
      <c r="R84" s="11">
        <f>'2. Tulud-kulud projektiga'!R84-'3. Tulud-kulud projektita'!R84</f>
        <v>4175.1359999999995</v>
      </c>
      <c r="S84" s="16"/>
      <c r="T84" s="16"/>
      <c r="U84" s="17"/>
    </row>
    <row r="85" spans="1:21" x14ac:dyDescent="0.35">
      <c r="A85" s="985"/>
      <c r="B85" s="50" t="str">
        <f>'2. Tulud-kulud projektiga'!B85</f>
        <v>Vee soojendamine</v>
      </c>
      <c r="C85" s="51" t="s">
        <v>3</v>
      </c>
      <c r="D85" s="11">
        <f>'2. Tulud-kulud projektiga'!D85-'3. Tulud-kulud projektita'!D85</f>
        <v>0</v>
      </c>
      <c r="E85" s="11">
        <f>'2. Tulud-kulud projektiga'!E85-'3. Tulud-kulud projektita'!E85</f>
        <v>0</v>
      </c>
      <c r="F85" s="11">
        <f>'2. Tulud-kulud projektiga'!F85-'3. Tulud-kulud projektita'!F85</f>
        <v>3217.68</v>
      </c>
      <c r="G85" s="11">
        <f>'2. Tulud-kulud projektiga'!G85-'3. Tulud-kulud projektita'!G85</f>
        <v>3217.68</v>
      </c>
      <c r="H85" s="11">
        <f>'2. Tulud-kulud projektiga'!H85-'3. Tulud-kulud projektita'!H85</f>
        <v>3217.68</v>
      </c>
      <c r="I85" s="11">
        <f>'2. Tulud-kulud projektiga'!I85-'3. Tulud-kulud projektita'!I85</f>
        <v>3217.68</v>
      </c>
      <c r="J85" s="11">
        <f>'2. Tulud-kulud projektiga'!J85-'3. Tulud-kulud projektita'!J85</f>
        <v>3217.68</v>
      </c>
      <c r="K85" s="11">
        <f>'2. Tulud-kulud projektiga'!K85-'3. Tulud-kulud projektita'!K85</f>
        <v>3217.68</v>
      </c>
      <c r="L85" s="11">
        <f>'2. Tulud-kulud projektiga'!L85-'3. Tulud-kulud projektita'!L85</f>
        <v>3217.68</v>
      </c>
      <c r="M85" s="11">
        <f>'2. Tulud-kulud projektiga'!M85-'3. Tulud-kulud projektita'!M85</f>
        <v>3217.68</v>
      </c>
      <c r="N85" s="11">
        <f>'2. Tulud-kulud projektiga'!N85-'3. Tulud-kulud projektita'!N85</f>
        <v>3217.68</v>
      </c>
      <c r="O85" s="11">
        <f>'2. Tulud-kulud projektiga'!O85-'3. Tulud-kulud projektita'!O85</f>
        <v>3217.68</v>
      </c>
      <c r="P85" s="11">
        <f>'2. Tulud-kulud projektiga'!P85-'3. Tulud-kulud projektita'!P85</f>
        <v>3217.68</v>
      </c>
      <c r="Q85" s="11">
        <f>'2. Tulud-kulud projektiga'!Q85-'3. Tulud-kulud projektita'!Q85</f>
        <v>3217.68</v>
      </c>
      <c r="R85" s="11">
        <f>'2. Tulud-kulud projektiga'!R85-'3. Tulud-kulud projektita'!R85</f>
        <v>3217.68</v>
      </c>
      <c r="S85" s="16"/>
      <c r="T85" s="16"/>
      <c r="U85" s="17"/>
    </row>
    <row r="86" spans="1:21" x14ac:dyDescent="0.35">
      <c r="A86" s="985"/>
      <c r="B86" s="50" t="str">
        <f>'2. Tulud-kulud projektiga'!B86</f>
        <v>Remonditööd</v>
      </c>
      <c r="C86" s="51" t="s">
        <v>3</v>
      </c>
      <c r="D86" s="11">
        <f>'2. Tulud-kulud projektiga'!D86-'3. Tulud-kulud projektita'!D86</f>
        <v>0</v>
      </c>
      <c r="E86" s="11">
        <f>'2. Tulud-kulud projektiga'!E86-'3. Tulud-kulud projektita'!E86</f>
        <v>0</v>
      </c>
      <c r="F86" s="11">
        <f>'2. Tulud-kulud projektiga'!F86-'3. Tulud-kulud projektita'!F86</f>
        <v>17500</v>
      </c>
      <c r="G86" s="11">
        <f>'2. Tulud-kulud projektiga'!G86-'3. Tulud-kulud projektita'!G86</f>
        <v>17500</v>
      </c>
      <c r="H86" s="11">
        <f>'2. Tulud-kulud projektiga'!H86-'3. Tulud-kulud projektita'!H86</f>
        <v>17500</v>
      </c>
      <c r="I86" s="11">
        <f>'2. Tulud-kulud projektiga'!I86-'3. Tulud-kulud projektita'!I86</f>
        <v>17500</v>
      </c>
      <c r="J86" s="11">
        <f>'2. Tulud-kulud projektiga'!J86-'3. Tulud-kulud projektita'!J86</f>
        <v>17500</v>
      </c>
      <c r="K86" s="11">
        <f>'2. Tulud-kulud projektiga'!K86-'3. Tulud-kulud projektita'!K86</f>
        <v>17500</v>
      </c>
      <c r="L86" s="11">
        <f>'2. Tulud-kulud projektiga'!L86-'3. Tulud-kulud projektita'!L86</f>
        <v>17500</v>
      </c>
      <c r="M86" s="11">
        <f>'2. Tulud-kulud projektiga'!M86-'3. Tulud-kulud projektita'!M86</f>
        <v>17500</v>
      </c>
      <c r="N86" s="11">
        <f>'2. Tulud-kulud projektiga'!N86-'3. Tulud-kulud projektita'!N86</f>
        <v>17500</v>
      </c>
      <c r="O86" s="11">
        <f>'2. Tulud-kulud projektiga'!O86-'3. Tulud-kulud projektita'!O86</f>
        <v>17500</v>
      </c>
      <c r="P86" s="11">
        <f>'2. Tulud-kulud projektiga'!P86-'3. Tulud-kulud projektita'!P86</f>
        <v>17500</v>
      </c>
      <c r="Q86" s="11">
        <f>'2. Tulud-kulud projektiga'!Q86-'3. Tulud-kulud projektita'!Q86</f>
        <v>17500</v>
      </c>
      <c r="R86" s="11">
        <f>'2. Tulud-kulud projektiga'!R86-'3. Tulud-kulud projektita'!R86</f>
        <v>17500</v>
      </c>
      <c r="S86" s="16"/>
      <c r="T86" s="16"/>
      <c r="U86" s="17"/>
    </row>
    <row r="87" spans="1:21" x14ac:dyDescent="0.35">
      <c r="A87" s="985"/>
      <c r="B87" s="50" t="str">
        <f>'2. Tulud-kulud projektiga'!B87</f>
        <v>Tehnohooldus</v>
      </c>
      <c r="C87" s="51" t="s">
        <v>3</v>
      </c>
      <c r="D87" s="11">
        <f>'2. Tulud-kulud projektiga'!D87-'3. Tulud-kulud projektita'!D87</f>
        <v>0</v>
      </c>
      <c r="E87" s="11">
        <f>'2. Tulud-kulud projektiga'!E87-'3. Tulud-kulud projektita'!E87</f>
        <v>0</v>
      </c>
      <c r="F87" s="11">
        <f>'2. Tulud-kulud projektiga'!F87-'3. Tulud-kulud projektita'!F87</f>
        <v>15600</v>
      </c>
      <c r="G87" s="11">
        <f>'2. Tulud-kulud projektiga'!G87-'3. Tulud-kulud projektita'!G87</f>
        <v>15600</v>
      </c>
      <c r="H87" s="11">
        <f>'2. Tulud-kulud projektiga'!H87-'3. Tulud-kulud projektita'!H87</f>
        <v>15600</v>
      </c>
      <c r="I87" s="11">
        <f>'2. Tulud-kulud projektiga'!I87-'3. Tulud-kulud projektita'!I87</f>
        <v>15600</v>
      </c>
      <c r="J87" s="11">
        <f>'2. Tulud-kulud projektiga'!J87-'3. Tulud-kulud projektita'!J87</f>
        <v>15600</v>
      </c>
      <c r="K87" s="11">
        <f>'2. Tulud-kulud projektiga'!K87-'3. Tulud-kulud projektita'!K87</f>
        <v>15600</v>
      </c>
      <c r="L87" s="11">
        <f>'2. Tulud-kulud projektiga'!L87-'3. Tulud-kulud projektita'!L87</f>
        <v>15600</v>
      </c>
      <c r="M87" s="11">
        <f>'2. Tulud-kulud projektiga'!M87-'3. Tulud-kulud projektita'!M87</f>
        <v>15600</v>
      </c>
      <c r="N87" s="11">
        <f>'2. Tulud-kulud projektiga'!N87-'3. Tulud-kulud projektita'!N87</f>
        <v>15600</v>
      </c>
      <c r="O87" s="11">
        <f>'2. Tulud-kulud projektiga'!O87-'3. Tulud-kulud projektita'!O87</f>
        <v>15600</v>
      </c>
      <c r="P87" s="11">
        <f>'2. Tulud-kulud projektiga'!P87-'3. Tulud-kulud projektita'!P87</f>
        <v>15600</v>
      </c>
      <c r="Q87" s="11">
        <f>'2. Tulud-kulud projektiga'!Q87-'3. Tulud-kulud projektita'!Q87</f>
        <v>15600</v>
      </c>
      <c r="R87" s="11">
        <f>'2. Tulud-kulud projektiga'!R87-'3. Tulud-kulud projektita'!R87</f>
        <v>15600</v>
      </c>
      <c r="S87" s="16"/>
      <c r="T87" s="16"/>
      <c r="U87" s="17"/>
    </row>
    <row r="88" spans="1:21" x14ac:dyDescent="0.35">
      <c r="A88" s="985"/>
      <c r="B88" s="50" t="str">
        <f>'2. Tulud-kulud projektiga'!B88</f>
        <v>Hooldus (administratiivkorpus)</v>
      </c>
      <c r="C88" s="51" t="s">
        <v>3</v>
      </c>
      <c r="D88" s="11">
        <f>'2. Tulud-kulud projektiga'!D88-'3. Tulud-kulud projektita'!D88</f>
        <v>0</v>
      </c>
      <c r="E88" s="11">
        <f>'2. Tulud-kulud projektiga'!E88-'3. Tulud-kulud projektita'!E88</f>
        <v>0</v>
      </c>
      <c r="F88" s="11">
        <f>'2. Tulud-kulud projektiga'!F88-'3. Tulud-kulud projektita'!F88</f>
        <v>9120</v>
      </c>
      <c r="G88" s="11">
        <f>'2. Tulud-kulud projektiga'!G88-'3. Tulud-kulud projektita'!G88</f>
        <v>9120</v>
      </c>
      <c r="H88" s="11">
        <f>'2. Tulud-kulud projektiga'!H88-'3. Tulud-kulud projektita'!H88</f>
        <v>9120</v>
      </c>
      <c r="I88" s="11">
        <f>'2. Tulud-kulud projektiga'!I88-'3. Tulud-kulud projektita'!I88</f>
        <v>9120</v>
      </c>
      <c r="J88" s="11">
        <f>'2. Tulud-kulud projektiga'!J88-'3. Tulud-kulud projektita'!J88</f>
        <v>9120</v>
      </c>
      <c r="K88" s="11">
        <f>'2. Tulud-kulud projektiga'!K88-'3. Tulud-kulud projektita'!K88</f>
        <v>9120</v>
      </c>
      <c r="L88" s="11">
        <f>'2. Tulud-kulud projektiga'!L88-'3. Tulud-kulud projektita'!L88</f>
        <v>9120</v>
      </c>
      <c r="M88" s="11">
        <f>'2. Tulud-kulud projektiga'!M88-'3. Tulud-kulud projektita'!M88</f>
        <v>9120</v>
      </c>
      <c r="N88" s="11">
        <f>'2. Tulud-kulud projektiga'!N88-'3. Tulud-kulud projektita'!N88</f>
        <v>9120</v>
      </c>
      <c r="O88" s="11">
        <f>'2. Tulud-kulud projektiga'!O88-'3. Tulud-kulud projektita'!O88</f>
        <v>9120</v>
      </c>
      <c r="P88" s="11">
        <f>'2. Tulud-kulud projektiga'!P88-'3. Tulud-kulud projektita'!P88</f>
        <v>9120</v>
      </c>
      <c r="Q88" s="11">
        <f>'2. Tulud-kulud projektiga'!Q88-'3. Tulud-kulud projektita'!Q88</f>
        <v>9120</v>
      </c>
      <c r="R88" s="11">
        <f>'2. Tulud-kulud projektiga'!R88-'3. Tulud-kulud projektita'!R88</f>
        <v>9120</v>
      </c>
      <c r="S88" s="16"/>
      <c r="T88" s="16"/>
      <c r="U88" s="17"/>
    </row>
    <row r="89" spans="1:21" x14ac:dyDescent="0.35">
      <c r="A89" s="985"/>
      <c r="B89" s="50" t="str">
        <f>'2. Tulud-kulud projektiga'!B89</f>
        <v>Hooldus (territoorium)</v>
      </c>
      <c r="C89" s="51" t="s">
        <v>3</v>
      </c>
      <c r="D89" s="11">
        <f>'2. Tulud-kulud projektiga'!D89-'3. Tulud-kulud projektita'!D89</f>
        <v>0</v>
      </c>
      <c r="E89" s="11">
        <f>'2. Tulud-kulud projektiga'!E89-'3. Tulud-kulud projektita'!E89</f>
        <v>0</v>
      </c>
      <c r="F89" s="11">
        <f>'2. Tulud-kulud projektiga'!F89-'3. Tulud-kulud projektita'!F89</f>
        <v>19460</v>
      </c>
      <c r="G89" s="11">
        <f>'2. Tulud-kulud projektiga'!G89-'3. Tulud-kulud projektita'!G89</f>
        <v>19460</v>
      </c>
      <c r="H89" s="11">
        <f>'2. Tulud-kulud projektiga'!H89-'3. Tulud-kulud projektita'!H89</f>
        <v>19460</v>
      </c>
      <c r="I89" s="11">
        <f>'2. Tulud-kulud projektiga'!I89-'3. Tulud-kulud projektita'!I89</f>
        <v>19460</v>
      </c>
      <c r="J89" s="11">
        <f>'2. Tulud-kulud projektiga'!J89-'3. Tulud-kulud projektita'!J89</f>
        <v>19460</v>
      </c>
      <c r="K89" s="11">
        <f>'2. Tulud-kulud projektiga'!K89-'3. Tulud-kulud projektita'!K89</f>
        <v>19460</v>
      </c>
      <c r="L89" s="11">
        <f>'2. Tulud-kulud projektiga'!L89-'3. Tulud-kulud projektita'!L89</f>
        <v>19460</v>
      </c>
      <c r="M89" s="11">
        <f>'2. Tulud-kulud projektiga'!M89-'3. Tulud-kulud projektita'!M89</f>
        <v>19460</v>
      </c>
      <c r="N89" s="11">
        <f>'2. Tulud-kulud projektiga'!N89-'3. Tulud-kulud projektita'!N89</f>
        <v>19460</v>
      </c>
      <c r="O89" s="11">
        <f>'2. Tulud-kulud projektiga'!O89-'3. Tulud-kulud projektita'!O89</f>
        <v>19460</v>
      </c>
      <c r="P89" s="11">
        <f>'2. Tulud-kulud projektiga'!P89-'3. Tulud-kulud projektita'!P89</f>
        <v>19460</v>
      </c>
      <c r="Q89" s="11">
        <f>'2. Tulud-kulud projektiga'!Q89-'3. Tulud-kulud projektita'!Q89</f>
        <v>19460</v>
      </c>
      <c r="R89" s="11">
        <f>'2. Tulud-kulud projektiga'!R89-'3. Tulud-kulud projektita'!R89</f>
        <v>19460</v>
      </c>
      <c r="S89" s="16"/>
      <c r="T89" s="16"/>
      <c r="U89" s="17"/>
    </row>
    <row r="90" spans="1:21" x14ac:dyDescent="0.35">
      <c r="A90" s="985"/>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x14ac:dyDescent="0.35">
      <c r="A91" s="985"/>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35">
      <c r="A92" s="975" t="str">
        <f>'2. Tulud-kulud projektiga'!A92:B92</f>
        <v>Halduskulud kokku</v>
      </c>
      <c r="B92" s="976"/>
      <c r="C92" s="49"/>
      <c r="D92" s="59">
        <f>'2. Tulud-kulud projektiga'!D92-'3. Tulud-kulud projektita'!D92</f>
        <v>0</v>
      </c>
      <c r="E92" s="59">
        <f>'2. Tulud-kulud projektiga'!E92-'3. Tulud-kulud projektita'!E92</f>
        <v>0</v>
      </c>
      <c r="F92" s="59">
        <f>'2. Tulud-kulud projektiga'!F92-'3. Tulud-kulud projektita'!F92</f>
        <v>132761.56863600004</v>
      </c>
      <c r="G92" s="59">
        <f>'2. Tulud-kulud projektiga'!G92-'3. Tulud-kulud projektita'!G92</f>
        <v>132761.56863600004</v>
      </c>
      <c r="H92" s="59">
        <f>'2. Tulud-kulud projektiga'!H92-'3. Tulud-kulud projektita'!H92</f>
        <v>132761.56863600004</v>
      </c>
      <c r="I92" s="59">
        <f>'2. Tulud-kulud projektiga'!I92-'3. Tulud-kulud projektita'!I92</f>
        <v>132761.56863600004</v>
      </c>
      <c r="J92" s="59">
        <f>'2. Tulud-kulud projektiga'!J92-'3. Tulud-kulud projektita'!J92</f>
        <v>132761.56863600004</v>
      </c>
      <c r="K92" s="59">
        <f>'2. Tulud-kulud projektiga'!K92-'3. Tulud-kulud projektita'!K92</f>
        <v>132761.56863600004</v>
      </c>
      <c r="L92" s="59">
        <f>'2. Tulud-kulud projektiga'!L92-'3. Tulud-kulud projektita'!L92</f>
        <v>132761.56863600004</v>
      </c>
      <c r="M92" s="59">
        <f>'2. Tulud-kulud projektiga'!M92-'3. Tulud-kulud projektita'!M92</f>
        <v>132761.56863600004</v>
      </c>
      <c r="N92" s="59">
        <f>'2. Tulud-kulud projektiga'!N92-'3. Tulud-kulud projektita'!N92</f>
        <v>132761.56863600004</v>
      </c>
      <c r="O92" s="59">
        <f>'2. Tulud-kulud projektiga'!O92-'3. Tulud-kulud projektita'!O92</f>
        <v>132761.56863600004</v>
      </c>
      <c r="P92" s="59">
        <f>'2. Tulud-kulud projektiga'!P92-'3. Tulud-kulud projektita'!P92</f>
        <v>132761.56863600004</v>
      </c>
      <c r="Q92" s="59">
        <f>'2. Tulud-kulud projektiga'!Q92-'3. Tulud-kulud projektita'!Q92</f>
        <v>132761.56863600004</v>
      </c>
      <c r="R92" s="59">
        <f>'2. Tulud-kulud projektiga'!R92-'3. Tulud-kulud projektita'!R92</f>
        <v>132761.56863600004</v>
      </c>
      <c r="S92" s="16"/>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6"/>
      <c r="T93" s="16"/>
      <c r="U93" s="17"/>
    </row>
    <row r="94" spans="1:21" x14ac:dyDescent="0.35">
      <c r="A94" s="986" t="str">
        <f>'2. Tulud-kulud projektiga'!A94:A103</f>
        <v>Turunduskulud</v>
      </c>
      <c r="B94" s="50" t="str">
        <f>'2. Tulud-kulud projektiga'!B94</f>
        <v>Turunduskulud</v>
      </c>
      <c r="C94" s="51" t="s">
        <v>3</v>
      </c>
      <c r="D94" s="11">
        <f>'2. Tulud-kulud projektiga'!D94-'3. Tulud-kulud projektita'!D94</f>
        <v>0</v>
      </c>
      <c r="E94" s="11">
        <f>'2. Tulud-kulud projektiga'!E94-'3. Tulud-kulud projektita'!E94</f>
        <v>0</v>
      </c>
      <c r="F94" s="11">
        <f>'2. Tulud-kulud projektiga'!F94-'3. Tulud-kulud projektita'!F94</f>
        <v>13920</v>
      </c>
      <c r="G94" s="11">
        <f>'2. Tulud-kulud projektiga'!G94-'3. Tulud-kulud projektita'!G94</f>
        <v>13920</v>
      </c>
      <c r="H94" s="11">
        <f>'2. Tulud-kulud projektiga'!H94-'3. Tulud-kulud projektita'!H94</f>
        <v>13920</v>
      </c>
      <c r="I94" s="11">
        <f>'2. Tulud-kulud projektiga'!I94-'3. Tulud-kulud projektita'!I94</f>
        <v>13920</v>
      </c>
      <c r="J94" s="11">
        <f>'2. Tulud-kulud projektiga'!J94-'3. Tulud-kulud projektita'!J94</f>
        <v>13920</v>
      </c>
      <c r="K94" s="11">
        <f>'2. Tulud-kulud projektiga'!K94-'3. Tulud-kulud projektita'!K94</f>
        <v>13920</v>
      </c>
      <c r="L94" s="11">
        <f>'2. Tulud-kulud projektiga'!L94-'3. Tulud-kulud projektita'!L94</f>
        <v>13920</v>
      </c>
      <c r="M94" s="11">
        <f>'2. Tulud-kulud projektiga'!M94-'3. Tulud-kulud projektita'!M94</f>
        <v>13920</v>
      </c>
      <c r="N94" s="11">
        <f>'2. Tulud-kulud projektiga'!N94-'3. Tulud-kulud projektita'!N94</f>
        <v>13920</v>
      </c>
      <c r="O94" s="11">
        <f>'2. Tulud-kulud projektiga'!O94-'3. Tulud-kulud projektita'!O94</f>
        <v>13920</v>
      </c>
      <c r="P94" s="11">
        <f>'2. Tulud-kulud projektiga'!P94-'3. Tulud-kulud projektita'!P94</f>
        <v>13920</v>
      </c>
      <c r="Q94" s="11">
        <f>'2. Tulud-kulud projektiga'!Q94-'3. Tulud-kulud projektita'!Q94</f>
        <v>13920</v>
      </c>
      <c r="R94" s="11">
        <f>'2. Tulud-kulud projektiga'!R94-'3. Tulud-kulud projektita'!R94</f>
        <v>13920</v>
      </c>
      <c r="S94" s="16"/>
      <c r="T94" s="16"/>
      <c r="U94" s="17"/>
    </row>
    <row r="95" spans="1:21" x14ac:dyDescent="0.35">
      <c r="A95" s="987"/>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x14ac:dyDescent="0.35">
      <c r="A96" s="987"/>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x14ac:dyDescent="0.35">
      <c r="A97" s="987"/>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x14ac:dyDescent="0.35">
      <c r="A98" s="987"/>
      <c r="B98" s="50" t="str">
        <f>'2. Tulud-kulud projektiga'!B98</f>
        <v>Kulu 5</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35">
      <c r="A99" s="987"/>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35">
      <c r="A100" s="987"/>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35">
      <c r="A101" s="987"/>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35">
      <c r="A102" s="987"/>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35">
      <c r="A103" s="988"/>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35">
      <c r="A104" s="975" t="str">
        <f>'2. Tulud-kulud projektiga'!A104:B104</f>
        <v>Turunduskulud kokku</v>
      </c>
      <c r="B104" s="976"/>
      <c r="C104" s="49"/>
      <c r="D104" s="59">
        <f>'2. Tulud-kulud projektiga'!D104-'3. Tulud-kulud projektita'!D104</f>
        <v>0</v>
      </c>
      <c r="E104" s="59">
        <f>'2. Tulud-kulud projektiga'!E104-'3. Tulud-kulud projektita'!E104</f>
        <v>0</v>
      </c>
      <c r="F104" s="59">
        <f>'2. Tulud-kulud projektiga'!F104-'3. Tulud-kulud projektita'!F104</f>
        <v>13920</v>
      </c>
      <c r="G104" s="59">
        <f>'2. Tulud-kulud projektiga'!G104-'3. Tulud-kulud projektita'!G104</f>
        <v>13920</v>
      </c>
      <c r="H104" s="59">
        <f>'2. Tulud-kulud projektiga'!H104-'3. Tulud-kulud projektita'!H104</f>
        <v>13920</v>
      </c>
      <c r="I104" s="59">
        <f>'2. Tulud-kulud projektiga'!I104-'3. Tulud-kulud projektita'!I104</f>
        <v>13920</v>
      </c>
      <c r="J104" s="59">
        <f>'2. Tulud-kulud projektiga'!J104-'3. Tulud-kulud projektita'!J104</f>
        <v>13920</v>
      </c>
      <c r="K104" s="59">
        <f>'2. Tulud-kulud projektiga'!K104-'3. Tulud-kulud projektita'!K104</f>
        <v>13920</v>
      </c>
      <c r="L104" s="59">
        <f>'2. Tulud-kulud projektiga'!L104-'3. Tulud-kulud projektita'!L104</f>
        <v>13920</v>
      </c>
      <c r="M104" s="59">
        <f>'2. Tulud-kulud projektiga'!M104-'3. Tulud-kulud projektita'!M104</f>
        <v>13920</v>
      </c>
      <c r="N104" s="59">
        <f>'2. Tulud-kulud projektiga'!N104-'3. Tulud-kulud projektita'!N104</f>
        <v>13920</v>
      </c>
      <c r="O104" s="59">
        <f>'2. Tulud-kulud projektiga'!O104-'3. Tulud-kulud projektita'!O104</f>
        <v>13920</v>
      </c>
      <c r="P104" s="59">
        <f>'2. Tulud-kulud projektiga'!P104-'3. Tulud-kulud projektita'!P104</f>
        <v>13920</v>
      </c>
      <c r="Q104" s="59">
        <f>'2. Tulud-kulud projektiga'!Q104-'3. Tulud-kulud projektita'!Q104</f>
        <v>13920</v>
      </c>
      <c r="R104" s="59">
        <f>'2. Tulud-kulud projektiga'!R104-'3. Tulud-kulud projektita'!R104</f>
        <v>13920</v>
      </c>
      <c r="S104" s="20"/>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35">
      <c r="A106" s="974" t="str">
        <f>'2. Tulud-kulud projektiga'!A106:B106</f>
        <v>Valve</v>
      </c>
      <c r="B106" s="974"/>
      <c r="C106" s="51" t="s">
        <v>3</v>
      </c>
      <c r="D106" s="11">
        <f>'2. Tulud-kulud projektiga'!D106-'3. Tulud-kulud projektita'!D106</f>
        <v>0</v>
      </c>
      <c r="E106" s="11">
        <f>'2. Tulud-kulud projektiga'!E106-'3. Tulud-kulud projektita'!E106</f>
        <v>0</v>
      </c>
      <c r="F106" s="11">
        <f>'2. Tulud-kulud projektiga'!F106-'3. Tulud-kulud projektita'!F106</f>
        <v>12000</v>
      </c>
      <c r="G106" s="11">
        <f>'2. Tulud-kulud projektiga'!G106-'3. Tulud-kulud projektita'!G106</f>
        <v>12000</v>
      </c>
      <c r="H106" s="11">
        <f>'2. Tulud-kulud projektiga'!H106-'3. Tulud-kulud projektita'!H106</f>
        <v>12000</v>
      </c>
      <c r="I106" s="11">
        <f>'2. Tulud-kulud projektiga'!I106-'3. Tulud-kulud projektita'!I106</f>
        <v>12000</v>
      </c>
      <c r="J106" s="11">
        <f>'2. Tulud-kulud projektiga'!J106-'3. Tulud-kulud projektita'!J106</f>
        <v>12000</v>
      </c>
      <c r="K106" s="11">
        <f>'2. Tulud-kulud projektiga'!K106-'3. Tulud-kulud projektita'!K106</f>
        <v>12000</v>
      </c>
      <c r="L106" s="11">
        <f>'2. Tulud-kulud projektiga'!L106-'3. Tulud-kulud projektita'!L106</f>
        <v>12000</v>
      </c>
      <c r="M106" s="11">
        <f>'2. Tulud-kulud projektiga'!M106-'3. Tulud-kulud projektita'!M106</f>
        <v>12000</v>
      </c>
      <c r="N106" s="11">
        <f>'2. Tulud-kulud projektiga'!N106-'3. Tulud-kulud projektita'!N106</f>
        <v>12000</v>
      </c>
      <c r="O106" s="11">
        <f>'2. Tulud-kulud projektiga'!O106-'3. Tulud-kulud projektita'!O106</f>
        <v>12000</v>
      </c>
      <c r="P106" s="11">
        <f>'2. Tulud-kulud projektiga'!P106-'3. Tulud-kulud projektita'!P106</f>
        <v>12000</v>
      </c>
      <c r="Q106" s="11">
        <f>'2. Tulud-kulud projektiga'!Q106-'3. Tulud-kulud projektita'!Q106</f>
        <v>12000</v>
      </c>
      <c r="R106" s="11">
        <f>'2. Tulud-kulud projektiga'!R106-'3. Tulud-kulud projektita'!R106</f>
        <v>12000</v>
      </c>
      <c r="S106" s="16"/>
      <c r="T106" s="16"/>
      <c r="U106" s="17"/>
    </row>
    <row r="107" spans="1:21" ht="16.5" customHeight="1" x14ac:dyDescent="0.35">
      <c r="A107" s="974" t="str">
        <f>'2. Tulud-kulud projektiga'!A107:B107</f>
        <v>Kindlustus</v>
      </c>
      <c r="B107" s="974"/>
      <c r="C107" s="51" t="s">
        <v>3</v>
      </c>
      <c r="D107" s="11">
        <f>'2. Tulud-kulud projektiga'!D107-'3. Tulud-kulud projektita'!D107</f>
        <v>0</v>
      </c>
      <c r="E107" s="11">
        <f>'2. Tulud-kulud projektiga'!E107-'3. Tulud-kulud projektita'!E107</f>
        <v>0</v>
      </c>
      <c r="F107" s="11">
        <f>'2. Tulud-kulud projektiga'!F107-'3. Tulud-kulud projektita'!F107</f>
        <v>8463.7249976800013</v>
      </c>
      <c r="G107" s="11">
        <f>'2. Tulud-kulud projektiga'!G107-'3. Tulud-kulud projektita'!G107</f>
        <v>8463.7249976800013</v>
      </c>
      <c r="H107" s="11">
        <f>'2. Tulud-kulud projektiga'!H107-'3. Tulud-kulud projektita'!H107</f>
        <v>8463.7249976800013</v>
      </c>
      <c r="I107" s="11">
        <f>'2. Tulud-kulud projektiga'!I107-'3. Tulud-kulud projektita'!I107</f>
        <v>8463.7249976800013</v>
      </c>
      <c r="J107" s="11">
        <f>'2. Tulud-kulud projektiga'!J107-'3. Tulud-kulud projektita'!J107</f>
        <v>8463.7249976800013</v>
      </c>
      <c r="K107" s="11">
        <f>'2. Tulud-kulud projektiga'!K107-'3. Tulud-kulud projektita'!K107</f>
        <v>8463.7249976800013</v>
      </c>
      <c r="L107" s="11">
        <f>'2. Tulud-kulud projektiga'!L107-'3. Tulud-kulud projektita'!L107</f>
        <v>8463.7249976800013</v>
      </c>
      <c r="M107" s="11">
        <f>'2. Tulud-kulud projektiga'!M107-'3. Tulud-kulud projektita'!M107</f>
        <v>8463.7249976800013</v>
      </c>
      <c r="N107" s="11">
        <f>'2. Tulud-kulud projektiga'!N107-'3. Tulud-kulud projektita'!N107</f>
        <v>8463.7249976800013</v>
      </c>
      <c r="O107" s="11">
        <f>'2. Tulud-kulud projektiga'!O107-'3. Tulud-kulud projektita'!O107</f>
        <v>8463.7249976800013</v>
      </c>
      <c r="P107" s="11">
        <f>'2. Tulud-kulud projektiga'!P107-'3. Tulud-kulud projektita'!P107</f>
        <v>8463.7249976800013</v>
      </c>
      <c r="Q107" s="11">
        <f>'2. Tulud-kulud projektiga'!Q107-'3. Tulud-kulud projektita'!Q107</f>
        <v>8463.7249976800013</v>
      </c>
      <c r="R107" s="11">
        <f>'2. Tulud-kulud projektiga'!R107-'3. Tulud-kulud projektita'!R107</f>
        <v>8463.7249976800013</v>
      </c>
      <c r="S107" s="16"/>
      <c r="T107" s="16"/>
      <c r="U107" s="17"/>
    </row>
    <row r="108" spans="1:21" ht="16.5" customHeight="1" x14ac:dyDescent="0.35">
      <c r="A108" s="974" t="str">
        <f>'2. Tulud-kulud projektiga'!A108:B108</f>
        <v>Muu</v>
      </c>
      <c r="B108" s="974"/>
      <c r="C108" s="51" t="s">
        <v>3</v>
      </c>
      <c r="D108" s="11">
        <f>'2. Tulud-kulud projektiga'!D108-'3. Tulud-kulud projektita'!D108</f>
        <v>0</v>
      </c>
      <c r="E108" s="11">
        <f>'2. Tulud-kulud projektiga'!E108-'3. Tulud-kulud projektita'!E108</f>
        <v>0</v>
      </c>
      <c r="F108" s="11">
        <f>'2. Tulud-kulud projektiga'!F108-'3. Tulud-kulud projektita'!F108</f>
        <v>6900</v>
      </c>
      <c r="G108" s="11">
        <f>'2. Tulud-kulud projektiga'!G108-'3. Tulud-kulud projektita'!G108</f>
        <v>6900</v>
      </c>
      <c r="H108" s="11">
        <f>'2. Tulud-kulud projektiga'!H108-'3. Tulud-kulud projektita'!H108</f>
        <v>6900</v>
      </c>
      <c r="I108" s="11">
        <f>'2. Tulud-kulud projektiga'!I108-'3. Tulud-kulud projektita'!I108</f>
        <v>6900</v>
      </c>
      <c r="J108" s="11">
        <f>'2. Tulud-kulud projektiga'!J108-'3. Tulud-kulud projektita'!J108</f>
        <v>6900</v>
      </c>
      <c r="K108" s="11">
        <f>'2. Tulud-kulud projektiga'!K108-'3. Tulud-kulud projektita'!K108</f>
        <v>6900</v>
      </c>
      <c r="L108" s="11">
        <f>'2. Tulud-kulud projektiga'!L108-'3. Tulud-kulud projektita'!L108</f>
        <v>6900</v>
      </c>
      <c r="M108" s="11">
        <f>'2. Tulud-kulud projektiga'!M108-'3. Tulud-kulud projektita'!M108</f>
        <v>6900</v>
      </c>
      <c r="N108" s="11">
        <f>'2. Tulud-kulud projektiga'!N108-'3. Tulud-kulud projektita'!N108</f>
        <v>6900</v>
      </c>
      <c r="O108" s="11">
        <f>'2. Tulud-kulud projektiga'!O108-'3. Tulud-kulud projektita'!O108</f>
        <v>6900</v>
      </c>
      <c r="P108" s="11">
        <f>'2. Tulud-kulud projektiga'!P108-'3. Tulud-kulud projektita'!P108</f>
        <v>6900</v>
      </c>
      <c r="Q108" s="11">
        <f>'2. Tulud-kulud projektiga'!Q108-'3. Tulud-kulud projektita'!Q108</f>
        <v>6900</v>
      </c>
      <c r="R108" s="11">
        <f>'2. Tulud-kulud projektiga'!R108-'3. Tulud-kulud projektita'!R108</f>
        <v>6900</v>
      </c>
      <c r="S108" s="16"/>
      <c r="T108" s="16"/>
      <c r="U108" s="17"/>
    </row>
    <row r="109" spans="1:21" ht="16.5" customHeight="1" x14ac:dyDescent="0.35">
      <c r="A109" s="974" t="str">
        <f>'2. Tulud-kulud projektiga'!A109:B109</f>
        <v>Muu kulu 4</v>
      </c>
      <c r="B109" s="974"/>
      <c r="C109" s="51" t="s">
        <v>3</v>
      </c>
      <c r="D109" s="11">
        <f>'2. Tulud-kulud projektiga'!D109-'3. Tulud-kulud projektita'!D109</f>
        <v>0</v>
      </c>
      <c r="E109" s="11">
        <f>'2. Tulud-kulud projektiga'!E109-'3. Tulud-kulud projektita'!E109</f>
        <v>0</v>
      </c>
      <c r="F109" s="11">
        <f>'2. Tulud-kulud projektiga'!F109-'3. Tulud-kulud projektita'!F109</f>
        <v>0</v>
      </c>
      <c r="G109" s="11">
        <f>'2. Tulud-kulud projektiga'!G109-'3. Tulud-kulud projektita'!G109</f>
        <v>0</v>
      </c>
      <c r="H109" s="11">
        <f>'2. Tulud-kulud projektiga'!H109-'3. Tulud-kulud projektita'!H109</f>
        <v>0</v>
      </c>
      <c r="I109" s="11">
        <f>'2. Tulud-kulud projektiga'!I109-'3. Tulud-kulud projektita'!I109</f>
        <v>0</v>
      </c>
      <c r="J109" s="11">
        <f>'2. Tulud-kulud projektiga'!J109-'3. Tulud-kulud projektita'!J109</f>
        <v>0</v>
      </c>
      <c r="K109" s="11">
        <f>'2. Tulud-kulud projektiga'!K109-'3. Tulud-kulud projektita'!K109</f>
        <v>0</v>
      </c>
      <c r="L109" s="11">
        <f>'2. Tulud-kulud projektiga'!L109-'3. Tulud-kulud projektita'!L109</f>
        <v>0</v>
      </c>
      <c r="M109" s="11">
        <f>'2. Tulud-kulud projektiga'!M109-'3. Tulud-kulud projektita'!M109</f>
        <v>0</v>
      </c>
      <c r="N109" s="11">
        <f>'2. Tulud-kulud projektiga'!N109-'3. Tulud-kulud projektita'!N109</f>
        <v>0</v>
      </c>
      <c r="O109" s="11">
        <f>'2. Tulud-kulud projektiga'!O109-'3. Tulud-kulud projektita'!O109</f>
        <v>0</v>
      </c>
      <c r="P109" s="11">
        <f>'2. Tulud-kulud projektiga'!P109-'3. Tulud-kulud projektita'!P109</f>
        <v>0</v>
      </c>
      <c r="Q109" s="11">
        <f>'2. Tulud-kulud projektiga'!Q109-'3. Tulud-kulud projektita'!Q109</f>
        <v>0</v>
      </c>
      <c r="R109" s="11">
        <f>'2. Tulud-kulud projektiga'!R109-'3. Tulud-kulud projektita'!R109</f>
        <v>0</v>
      </c>
      <c r="S109" s="16"/>
      <c r="T109" s="16"/>
      <c r="U109" s="17"/>
    </row>
    <row r="110" spans="1:21" ht="16.5" customHeight="1" x14ac:dyDescent="0.35">
      <c r="A110" s="974" t="str">
        <f>'2. Tulud-kulud projektiga'!A110:B110</f>
        <v>Muu kulu 5</v>
      </c>
      <c r="B110" s="974"/>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35">
      <c r="A111" s="974" t="str">
        <f>'2. Tulud-kulud projektiga'!A111:B111</f>
        <v>Muu kulu 6</v>
      </c>
      <c r="B111" s="974"/>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6"/>
      <c r="T111" s="16"/>
      <c r="U111" s="17"/>
    </row>
    <row r="112" spans="1:21" ht="16.5" hidden="1" customHeight="1" outlineLevel="1" x14ac:dyDescent="0.35">
      <c r="A112" s="974" t="str">
        <f>'2. Tulud-kulud projektiga'!A112:B112</f>
        <v>Muu kulu 7</v>
      </c>
      <c r="B112" s="974"/>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0</v>
      </c>
      <c r="S112" s="16"/>
      <c r="T112" s="16"/>
      <c r="U112" s="17"/>
    </row>
    <row r="113" spans="1:21" ht="16.5" hidden="1" customHeight="1" outlineLevel="1" x14ac:dyDescent="0.35">
      <c r="A113" s="974" t="str">
        <f>'2. Tulud-kulud projektiga'!A113:B113</f>
        <v>Muu kulu 8</v>
      </c>
      <c r="B113" s="974"/>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35">
      <c r="A114" s="974" t="str">
        <f>'2. Tulud-kulud projektiga'!A114:B114</f>
        <v>Muu kulu 9</v>
      </c>
      <c r="B114" s="974"/>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35">
      <c r="A115" s="974" t="str">
        <f>'2. Tulud-kulud projektiga'!A115:B115</f>
        <v>Muu kulu 10</v>
      </c>
      <c r="B115" s="974"/>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35">
      <c r="A116" s="975" t="str">
        <f>'2. Tulud-kulud projektiga'!A116:B116</f>
        <v>Muud kulud kokku</v>
      </c>
      <c r="B116" s="976"/>
      <c r="C116" s="48" t="s">
        <v>3</v>
      </c>
      <c r="D116" s="59">
        <f>'2. Tulud-kulud projektiga'!D116-'3. Tulud-kulud projektita'!D116</f>
        <v>0</v>
      </c>
      <c r="E116" s="59">
        <f>'2. Tulud-kulud projektiga'!E116-'3. Tulud-kulud projektita'!E116</f>
        <v>0</v>
      </c>
      <c r="F116" s="59">
        <f>'2. Tulud-kulud projektiga'!F116-'3. Tulud-kulud projektita'!F116</f>
        <v>27363.724997680001</v>
      </c>
      <c r="G116" s="59">
        <f>'2. Tulud-kulud projektiga'!G116-'3. Tulud-kulud projektita'!G116</f>
        <v>27363.724997680001</v>
      </c>
      <c r="H116" s="59">
        <f>'2. Tulud-kulud projektiga'!H116-'3. Tulud-kulud projektita'!H116</f>
        <v>27363.724997680001</v>
      </c>
      <c r="I116" s="59">
        <f>'2. Tulud-kulud projektiga'!I116-'3. Tulud-kulud projektita'!I116</f>
        <v>27363.724997680001</v>
      </c>
      <c r="J116" s="59">
        <f>'2. Tulud-kulud projektiga'!J116-'3. Tulud-kulud projektita'!J116</f>
        <v>27363.724997680001</v>
      </c>
      <c r="K116" s="59">
        <f>'2. Tulud-kulud projektiga'!K116-'3. Tulud-kulud projektita'!K116</f>
        <v>27363.724997680001</v>
      </c>
      <c r="L116" s="59">
        <f>'2. Tulud-kulud projektiga'!L116-'3. Tulud-kulud projektita'!L116</f>
        <v>27363.724997680001</v>
      </c>
      <c r="M116" s="59">
        <f>'2. Tulud-kulud projektiga'!M116-'3. Tulud-kulud projektita'!M116</f>
        <v>27363.724997680001</v>
      </c>
      <c r="N116" s="59">
        <f>'2. Tulud-kulud projektiga'!N116-'3. Tulud-kulud projektita'!N116</f>
        <v>27363.724997680001</v>
      </c>
      <c r="O116" s="59">
        <f>'2. Tulud-kulud projektiga'!O116-'3. Tulud-kulud projektita'!O116</f>
        <v>27363.724997680001</v>
      </c>
      <c r="P116" s="59">
        <f>'2. Tulud-kulud projektiga'!P116-'3. Tulud-kulud projektita'!P116</f>
        <v>27363.724997680001</v>
      </c>
      <c r="Q116" s="59">
        <f>'2. Tulud-kulud projektiga'!Q116-'3. Tulud-kulud projektita'!Q116</f>
        <v>27363.724997680001</v>
      </c>
      <c r="R116" s="59">
        <f>'2. Tulud-kulud projektiga'!R116-'3. Tulud-kulud projektita'!R116</f>
        <v>27363.724997680001</v>
      </c>
      <c r="S116" s="20"/>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35">
      <c r="A118" s="977" t="s">
        <v>76</v>
      </c>
      <c r="B118" s="978"/>
      <c r="C118" s="57" t="s">
        <v>3</v>
      </c>
      <c r="D118" s="58">
        <f t="shared" ref="D118:K118" si="6">D80+D92+D104+D116</f>
        <v>0</v>
      </c>
      <c r="E118" s="58">
        <f t="shared" si="6"/>
        <v>59106.15</v>
      </c>
      <c r="F118" s="58">
        <f t="shared" si="6"/>
        <v>264721.55363368004</v>
      </c>
      <c r="G118" s="58">
        <f t="shared" si="6"/>
        <v>269351.70263368002</v>
      </c>
      <c r="H118" s="58">
        <f t="shared" si="6"/>
        <v>273253.31063368003</v>
      </c>
      <c r="I118" s="58">
        <f t="shared" si="6"/>
        <v>274186.86668368004</v>
      </c>
      <c r="J118" s="58">
        <f t="shared" si="6"/>
        <v>274186.86668368004</v>
      </c>
      <c r="K118" s="58">
        <f t="shared" si="6"/>
        <v>274186.86668368004</v>
      </c>
      <c r="L118" s="58">
        <f t="shared" ref="L118:R118" si="7">L80+L92+L104+L116</f>
        <v>274186.86668368004</v>
      </c>
      <c r="M118" s="58">
        <f t="shared" si="7"/>
        <v>274186.86668368004</v>
      </c>
      <c r="N118" s="58">
        <f t="shared" si="7"/>
        <v>274186.86668368004</v>
      </c>
      <c r="O118" s="58">
        <f t="shared" si="7"/>
        <v>274186.86668368004</v>
      </c>
      <c r="P118" s="58">
        <f t="shared" si="7"/>
        <v>274186.86668368004</v>
      </c>
      <c r="Q118" s="58">
        <f t="shared" si="7"/>
        <v>274186.86668368004</v>
      </c>
      <c r="R118" s="58">
        <f t="shared" si="7"/>
        <v>274186.86668368004</v>
      </c>
      <c r="S118" s="13"/>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35">
      <c r="A121" s="979" t="s">
        <v>44</v>
      </c>
      <c r="B121" s="980"/>
      <c r="C121" s="22" t="s">
        <v>3</v>
      </c>
      <c r="D121" s="14">
        <f t="shared" ref="D121:K121" si="8">D53-D118</f>
        <v>0</v>
      </c>
      <c r="E121" s="14">
        <f t="shared" si="8"/>
        <v>-59106.15</v>
      </c>
      <c r="F121" s="14">
        <f t="shared" si="8"/>
        <v>-2152.3215856799507</v>
      </c>
      <c r="G121" s="14">
        <f t="shared" si="8"/>
        <v>-6782.4705856799264</v>
      </c>
      <c r="H121" s="14">
        <f t="shared" si="8"/>
        <v>-10684.078585679934</v>
      </c>
      <c r="I121" s="14">
        <f t="shared" si="8"/>
        <v>-11617.634635679948</v>
      </c>
      <c r="J121" s="14">
        <f t="shared" si="8"/>
        <v>-11617.634635679948</v>
      </c>
      <c r="K121" s="14">
        <f t="shared" si="8"/>
        <v>-11617.634635679948</v>
      </c>
      <c r="L121" s="14">
        <f t="shared" ref="L121:R121" si="9">L53-L118</f>
        <v>-11617.634635679948</v>
      </c>
      <c r="M121" s="14">
        <f t="shared" si="9"/>
        <v>-11617.634635679948</v>
      </c>
      <c r="N121" s="14">
        <f t="shared" si="9"/>
        <v>-11617.634635679948</v>
      </c>
      <c r="O121" s="14">
        <f t="shared" si="9"/>
        <v>-11617.634635679948</v>
      </c>
      <c r="P121" s="14">
        <f t="shared" si="9"/>
        <v>-11617.634635679948</v>
      </c>
      <c r="Q121" s="14">
        <f t="shared" si="9"/>
        <v>-11617.634635679948</v>
      </c>
      <c r="R121" s="14">
        <f t="shared" si="9"/>
        <v>-11617.634635679948</v>
      </c>
      <c r="S121" s="13"/>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979" t="s">
        <v>188</v>
      </c>
      <c r="B125" s="980"/>
      <c r="C125" s="22" t="s">
        <v>3</v>
      </c>
      <c r="D125" s="14">
        <f>D121</f>
        <v>0</v>
      </c>
      <c r="E125" s="14">
        <f>D125+E121</f>
        <v>-59106.15</v>
      </c>
      <c r="F125" s="14">
        <f t="shared" ref="F125:P125" si="10">E125+F121</f>
        <v>-61258.471585679952</v>
      </c>
      <c r="G125" s="14">
        <f t="shared" si="10"/>
        <v>-68040.942171359871</v>
      </c>
      <c r="H125" s="14">
        <f t="shared" si="10"/>
        <v>-78725.020757039805</v>
      </c>
      <c r="I125" s="14">
        <f t="shared" si="10"/>
        <v>-90342.655392719753</v>
      </c>
      <c r="J125" s="14">
        <f t="shared" si="10"/>
        <v>-101960.2900283997</v>
      </c>
      <c r="K125" s="14">
        <f t="shared" si="10"/>
        <v>-113577.92466407965</v>
      </c>
      <c r="L125" s="14">
        <f t="shared" si="10"/>
        <v>-125195.5592997596</v>
      </c>
      <c r="M125" s="14">
        <f t="shared" si="10"/>
        <v>-136813.19393543954</v>
      </c>
      <c r="N125" s="14">
        <f t="shared" si="10"/>
        <v>-148430.82857111949</v>
      </c>
      <c r="O125" s="14">
        <f t="shared" si="10"/>
        <v>-160048.46320679944</v>
      </c>
      <c r="P125" s="14">
        <f t="shared" si="10"/>
        <v>-171666.09784247939</v>
      </c>
      <c r="Q125" s="14">
        <f t="shared" ref="Q125" si="11">P125+Q121</f>
        <v>-183283.73247815933</v>
      </c>
      <c r="R125" s="14">
        <f t="shared" ref="R125" si="12">Q125+R121</f>
        <v>-194901.36711383928</v>
      </c>
      <c r="S125" s="16"/>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35">
      <c r="B127" s="24"/>
      <c r="C127" s="7"/>
      <c r="D127" s="67"/>
      <c r="E127" s="67"/>
      <c r="F127" s="67"/>
      <c r="G127" s="67"/>
      <c r="H127" s="67"/>
      <c r="I127" s="67"/>
      <c r="J127" s="67"/>
      <c r="K127" s="67"/>
      <c r="L127" s="67"/>
      <c r="M127" s="67"/>
      <c r="N127" s="67"/>
      <c r="O127" s="67"/>
      <c r="P127" s="67"/>
      <c r="Q127" s="67"/>
      <c r="R127" s="67"/>
      <c r="S127" s="16"/>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7C6F1"/>
  </sheetPr>
  <dimension ref="A1:AI60"/>
  <sheetViews>
    <sheetView showGridLines="0" workbookViewId="0">
      <pane xSplit="1" ySplit="4" topLeftCell="B14" activePane="bottomRight" state="frozen"/>
      <selection pane="topRight" activeCell="B1" sqref="B1"/>
      <selection pane="bottomLeft" activeCell="A5" sqref="A5"/>
      <selection pane="bottomRight" activeCell="C28" sqref="C28:D28"/>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86" t="s">
        <v>190</v>
      </c>
      <c r="H1" s="287" t="s">
        <v>191</v>
      </c>
    </row>
    <row r="2" spans="1:35" ht="8.25" customHeight="1" x14ac:dyDescent="0.35"/>
    <row r="3" spans="1:35" s="228" customFormat="1" ht="23.25" customHeight="1" x14ac:dyDescent="0.35">
      <c r="A3" s="224"/>
      <c r="B3" s="225"/>
      <c r="C3" s="288">
        <f>'2. Tulud-kulud projektiga'!D3</f>
        <v>2023</v>
      </c>
      <c r="D3" s="288">
        <f>C3+1</f>
        <v>2024</v>
      </c>
      <c r="E3" s="288">
        <f t="shared" ref="E3:O3" si="0">D3+1</f>
        <v>2025</v>
      </c>
      <c r="F3" s="288">
        <f t="shared" si="0"/>
        <v>2026</v>
      </c>
      <c r="G3" s="288">
        <f t="shared" si="0"/>
        <v>2027</v>
      </c>
      <c r="H3" s="288">
        <f t="shared" si="0"/>
        <v>2028</v>
      </c>
      <c r="I3" s="288">
        <f t="shared" si="0"/>
        <v>2029</v>
      </c>
      <c r="J3" s="288">
        <f t="shared" si="0"/>
        <v>2030</v>
      </c>
      <c r="K3" s="288">
        <f t="shared" si="0"/>
        <v>2031</v>
      </c>
      <c r="L3" s="288">
        <f t="shared" si="0"/>
        <v>2032</v>
      </c>
      <c r="M3" s="288">
        <f t="shared" si="0"/>
        <v>2033</v>
      </c>
      <c r="N3" s="288">
        <f t="shared" si="0"/>
        <v>2034</v>
      </c>
      <c r="O3" s="288">
        <f t="shared" si="0"/>
        <v>2035</v>
      </c>
      <c r="P3" s="288">
        <f t="shared" ref="P3" si="1">O3+1</f>
        <v>2036</v>
      </c>
      <c r="Q3" s="288">
        <f t="shared" ref="Q3" si="2">P3+1</f>
        <v>2037</v>
      </c>
      <c r="R3" s="289"/>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290"/>
      <c r="D4" s="290"/>
      <c r="E4" s="290"/>
      <c r="F4" s="290"/>
      <c r="G4" s="290"/>
      <c r="H4" s="290"/>
      <c r="I4" s="290"/>
      <c r="J4" s="290"/>
      <c r="K4" s="290"/>
      <c r="L4" s="290"/>
      <c r="M4" s="290"/>
      <c r="N4" s="290"/>
      <c r="O4" s="290"/>
      <c r="P4" s="290"/>
      <c r="Q4" s="291"/>
      <c r="R4" s="292"/>
    </row>
    <row r="5" spans="1:35" ht="20.25" customHeight="1" x14ac:dyDescent="0.35">
      <c r="A5" s="293" t="s">
        <v>192</v>
      </c>
      <c r="B5" s="294"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16.5" customHeight="1" x14ac:dyDescent="0.35">
      <c r="A7" s="295" t="s">
        <v>193</v>
      </c>
      <c r="B7" s="296" t="s">
        <v>3</v>
      </c>
      <c r="C7" s="297">
        <f>'4. Lisanduvad tulud-kulud'!D53</f>
        <v>0</v>
      </c>
      <c r="D7" s="297">
        <f>'4. Lisanduvad tulud-kulud'!E53</f>
        <v>0</v>
      </c>
      <c r="E7" s="297">
        <f>'4. Lisanduvad tulud-kulud'!F53</f>
        <v>262569.23204800009</v>
      </c>
      <c r="F7" s="297">
        <f>'4. Lisanduvad tulud-kulud'!G53</f>
        <v>262569.23204800009</v>
      </c>
      <c r="G7" s="297">
        <f>'4. Lisanduvad tulud-kulud'!H53</f>
        <v>262569.23204800009</v>
      </c>
      <c r="H7" s="297">
        <f>'4. Lisanduvad tulud-kulud'!I53</f>
        <v>262569.23204800009</v>
      </c>
      <c r="I7" s="297">
        <f>'4. Lisanduvad tulud-kulud'!J53</f>
        <v>262569.23204800009</v>
      </c>
      <c r="J7" s="297">
        <f>'4. Lisanduvad tulud-kulud'!K53</f>
        <v>262569.23204800009</v>
      </c>
      <c r="K7" s="297">
        <f>'4. Lisanduvad tulud-kulud'!L53</f>
        <v>262569.23204800009</v>
      </c>
      <c r="L7" s="297">
        <f>'4. Lisanduvad tulud-kulud'!M53</f>
        <v>262569.23204800009</v>
      </c>
      <c r="M7" s="297">
        <f>'4. Lisanduvad tulud-kulud'!N53</f>
        <v>262569.23204800009</v>
      </c>
      <c r="N7" s="297">
        <f>'4. Lisanduvad tulud-kulud'!O53</f>
        <v>262569.23204800009</v>
      </c>
      <c r="O7" s="297">
        <f>'4. Lisanduvad tulud-kulud'!P53</f>
        <v>262569.23204800009</v>
      </c>
      <c r="P7" s="297">
        <f>'4. Lisanduvad tulud-kulud'!Q53</f>
        <v>262569.23204800009</v>
      </c>
      <c r="Q7" s="297">
        <f>'4. Lisanduvad tulud-kulud'!R53</f>
        <v>262569.23204800009</v>
      </c>
    </row>
    <row r="8" spans="1:35" s="235" customFormat="1" ht="16.5" customHeight="1" x14ac:dyDescent="0.35">
      <c r="A8" s="298" t="s">
        <v>194</v>
      </c>
      <c r="B8" s="296" t="s">
        <v>3</v>
      </c>
      <c r="C8" s="299"/>
      <c r="D8" s="299"/>
      <c r="E8" s="299"/>
      <c r="F8" s="299"/>
      <c r="G8" s="299"/>
      <c r="H8" s="299"/>
      <c r="I8" s="299"/>
      <c r="J8" s="299"/>
      <c r="K8" s="299"/>
      <c r="L8" s="299"/>
      <c r="M8" s="299"/>
      <c r="N8" s="299"/>
      <c r="O8" s="299"/>
      <c r="P8" s="299"/>
      <c r="Q8" s="297">
        <f>'8. Jääkväärtus'!Q14</f>
        <v>0</v>
      </c>
    </row>
    <row r="9" spans="1:35" ht="16.5" hidden="1" customHeight="1" x14ac:dyDescent="0.35">
      <c r="A9" s="232"/>
      <c r="B9" s="233" t="s">
        <v>3</v>
      </c>
      <c r="C9" s="11"/>
      <c r="D9" s="11"/>
      <c r="E9" s="11"/>
      <c r="F9" s="11"/>
      <c r="G9" s="11"/>
      <c r="H9" s="11"/>
      <c r="I9" s="11"/>
      <c r="J9" s="11"/>
      <c r="K9" s="11"/>
      <c r="L9" s="11"/>
      <c r="M9" s="11"/>
      <c r="N9" s="11"/>
      <c r="O9" s="11"/>
      <c r="P9" s="11"/>
      <c r="Q9" s="11"/>
    </row>
    <row r="10" spans="1:35" ht="4.5" customHeight="1" x14ac:dyDescent="0.35">
      <c r="A10" s="229"/>
      <c r="B10" s="237"/>
      <c r="C10" s="18"/>
      <c r="D10" s="18"/>
      <c r="E10" s="18"/>
      <c r="F10" s="18"/>
      <c r="G10" s="18"/>
      <c r="H10" s="18"/>
      <c r="I10" s="18"/>
      <c r="J10" s="18"/>
      <c r="K10" s="18"/>
      <c r="L10" s="18"/>
      <c r="M10" s="18"/>
      <c r="N10" s="18"/>
      <c r="O10" s="18"/>
      <c r="P10" s="18"/>
      <c r="Q10" s="19"/>
    </row>
    <row r="11" spans="1:35" s="241" customFormat="1" ht="22.5" customHeight="1" x14ac:dyDescent="0.35">
      <c r="A11" s="300" t="s">
        <v>195</v>
      </c>
      <c r="B11" s="301" t="s">
        <v>3</v>
      </c>
      <c r="C11" s="302">
        <f t="shared" ref="C11:Q11" si="3">SUM(C7:C9)</f>
        <v>0</v>
      </c>
      <c r="D11" s="302">
        <f t="shared" si="3"/>
        <v>0</v>
      </c>
      <c r="E11" s="302">
        <f t="shared" si="3"/>
        <v>262569.23204800009</v>
      </c>
      <c r="F11" s="302">
        <f t="shared" si="3"/>
        <v>262569.23204800009</v>
      </c>
      <c r="G11" s="302">
        <f t="shared" si="3"/>
        <v>262569.23204800009</v>
      </c>
      <c r="H11" s="302">
        <f t="shared" si="3"/>
        <v>262569.23204800009</v>
      </c>
      <c r="I11" s="302">
        <f t="shared" si="3"/>
        <v>262569.23204800009</v>
      </c>
      <c r="J11" s="302">
        <f t="shared" si="3"/>
        <v>262569.23204800009</v>
      </c>
      <c r="K11" s="302">
        <f t="shared" si="3"/>
        <v>262569.23204800009</v>
      </c>
      <c r="L11" s="302">
        <f t="shared" si="3"/>
        <v>262569.23204800009</v>
      </c>
      <c r="M11" s="302">
        <f t="shared" si="3"/>
        <v>262569.23204800009</v>
      </c>
      <c r="N11" s="302">
        <f t="shared" si="3"/>
        <v>262569.23204800009</v>
      </c>
      <c r="O11" s="302">
        <f t="shared" si="3"/>
        <v>262569.23204800009</v>
      </c>
      <c r="P11" s="302">
        <f t="shared" si="3"/>
        <v>262569.23204800009</v>
      </c>
      <c r="Q11" s="302">
        <f t="shared" si="3"/>
        <v>262569.23204800009</v>
      </c>
      <c r="R11" s="3"/>
      <c r="S11" s="3"/>
      <c r="T11" s="3"/>
      <c r="U11" s="3"/>
      <c r="V11" s="3"/>
      <c r="W11" s="3"/>
      <c r="X11" s="3"/>
      <c r="Y11" s="3"/>
      <c r="Z11" s="3"/>
      <c r="AA11" s="3"/>
      <c r="AB11" s="3"/>
      <c r="AC11" s="3"/>
      <c r="AD11" s="3"/>
      <c r="AE11" s="3"/>
      <c r="AF11" s="3"/>
      <c r="AG11" s="3"/>
      <c r="AH11" s="3"/>
      <c r="AI11" s="3"/>
    </row>
    <row r="12" spans="1:35" s="241" customFormat="1" ht="4.5" customHeight="1" x14ac:dyDescent="0.35">
      <c r="A12" s="242"/>
      <c r="B12" s="237"/>
      <c r="C12" s="243"/>
      <c r="D12" s="243"/>
      <c r="E12" s="243"/>
      <c r="F12" s="243"/>
      <c r="G12" s="243"/>
      <c r="H12" s="243"/>
      <c r="I12" s="243"/>
      <c r="J12" s="243"/>
      <c r="K12" s="243"/>
      <c r="L12" s="243"/>
      <c r="M12" s="243"/>
      <c r="N12" s="243"/>
      <c r="O12" s="243"/>
      <c r="P12" s="243"/>
      <c r="Q12" s="244"/>
      <c r="R12" s="3"/>
      <c r="S12" s="3"/>
      <c r="T12" s="3"/>
      <c r="U12" s="3"/>
      <c r="V12" s="3"/>
      <c r="W12" s="3"/>
      <c r="X12" s="3"/>
      <c r="Y12" s="3"/>
      <c r="Z12" s="3"/>
      <c r="AA12" s="3"/>
      <c r="AB12" s="3"/>
      <c r="AC12" s="3"/>
      <c r="AD12" s="3"/>
      <c r="AE12" s="3"/>
      <c r="AF12" s="3"/>
      <c r="AG12" s="3"/>
      <c r="AH12" s="3"/>
      <c r="AI12" s="3"/>
    </row>
    <row r="13" spans="1:35" ht="20.25" customHeight="1" x14ac:dyDescent="0.35">
      <c r="A13" s="245"/>
      <c r="B13" s="246"/>
      <c r="C13" s="247"/>
      <c r="D13" s="247"/>
      <c r="E13" s="247"/>
      <c r="F13" s="247"/>
      <c r="G13" s="247"/>
      <c r="H13" s="247"/>
      <c r="I13" s="247"/>
      <c r="J13" s="247"/>
      <c r="K13" s="247"/>
      <c r="L13" s="247"/>
      <c r="M13" s="247"/>
      <c r="N13" s="247"/>
      <c r="O13" s="247"/>
      <c r="P13" s="247"/>
      <c r="Q13" s="247"/>
    </row>
    <row r="14" spans="1:35" ht="20.25" customHeight="1" x14ac:dyDescent="0.35">
      <c r="A14" s="293" t="s">
        <v>196</v>
      </c>
      <c r="B14" s="248"/>
      <c r="C14" s="11"/>
      <c r="D14" s="11"/>
      <c r="E14" s="11"/>
      <c r="F14" s="11"/>
      <c r="G14" s="11"/>
      <c r="H14" s="11"/>
      <c r="I14" s="11"/>
      <c r="J14" s="11"/>
      <c r="K14" s="11"/>
      <c r="L14" s="11"/>
      <c r="M14" s="11"/>
      <c r="N14" s="11"/>
      <c r="O14" s="11"/>
      <c r="P14" s="11"/>
      <c r="Q14" s="11"/>
    </row>
    <row r="15" spans="1:35" ht="4.5" customHeight="1" x14ac:dyDescent="0.35">
      <c r="A15" s="231"/>
      <c r="B15" s="237"/>
      <c r="C15" s="18"/>
      <c r="D15" s="18"/>
      <c r="E15" s="18"/>
      <c r="F15" s="18"/>
      <c r="G15" s="18"/>
      <c r="H15" s="18"/>
      <c r="I15" s="18"/>
      <c r="J15" s="18"/>
      <c r="K15" s="18"/>
      <c r="L15" s="18"/>
      <c r="M15" s="18"/>
      <c r="N15" s="18"/>
      <c r="O15" s="18"/>
      <c r="P15" s="18"/>
      <c r="Q15" s="19"/>
    </row>
    <row r="16" spans="1:35" ht="16.5" customHeight="1" x14ac:dyDescent="0.35">
      <c r="A16" s="298" t="s">
        <v>197</v>
      </c>
      <c r="B16" s="296" t="s">
        <v>3</v>
      </c>
      <c r="C16" s="297">
        <f>'4. Lisanduvad tulud-kulud'!D118</f>
        <v>0</v>
      </c>
      <c r="D16" s="297">
        <f>'4. Lisanduvad tulud-kulud'!E118</f>
        <v>59106.15</v>
      </c>
      <c r="E16" s="297">
        <f>'4. Lisanduvad tulud-kulud'!F118</f>
        <v>264721.55363368004</v>
      </c>
      <c r="F16" s="297">
        <f>'4. Lisanduvad tulud-kulud'!G118</f>
        <v>269351.70263368002</v>
      </c>
      <c r="G16" s="297">
        <f>'4. Lisanduvad tulud-kulud'!H118</f>
        <v>273253.31063368003</v>
      </c>
      <c r="H16" s="297">
        <f>'4. Lisanduvad tulud-kulud'!I118</f>
        <v>274186.86668368004</v>
      </c>
      <c r="I16" s="297">
        <f>'4. Lisanduvad tulud-kulud'!J118</f>
        <v>274186.86668368004</v>
      </c>
      <c r="J16" s="297">
        <f>'4. Lisanduvad tulud-kulud'!K118</f>
        <v>274186.86668368004</v>
      </c>
      <c r="K16" s="297">
        <f>'4. Lisanduvad tulud-kulud'!L118</f>
        <v>274186.86668368004</v>
      </c>
      <c r="L16" s="297">
        <f>'4. Lisanduvad tulud-kulud'!M118</f>
        <v>274186.86668368004</v>
      </c>
      <c r="M16" s="297">
        <f>'4. Lisanduvad tulud-kulud'!N118</f>
        <v>274186.86668368004</v>
      </c>
      <c r="N16" s="297">
        <f>'4. Lisanduvad tulud-kulud'!O118</f>
        <v>274186.86668368004</v>
      </c>
      <c r="O16" s="297">
        <f>'4. Lisanduvad tulud-kulud'!P118</f>
        <v>274186.86668368004</v>
      </c>
      <c r="P16" s="297">
        <f>'4. Lisanduvad tulud-kulud'!Q118</f>
        <v>274186.86668368004</v>
      </c>
      <c r="Q16" s="297">
        <f>'4. Lisanduvad tulud-kulud'!R118</f>
        <v>274186.86668368004</v>
      </c>
    </row>
    <row r="17" spans="1:35" ht="16.5" customHeight="1" x14ac:dyDescent="0.35">
      <c r="A17" s="298" t="s">
        <v>136</v>
      </c>
      <c r="B17" s="296" t="s">
        <v>3</v>
      </c>
      <c r="C17" s="297">
        <f>'6. Rahavood'!C28</f>
        <v>0</v>
      </c>
      <c r="D17" s="297">
        <f>'[2]6. Rahavood'!D28</f>
        <v>0</v>
      </c>
      <c r="E17" s="297">
        <f>'[2]6. Rahavood'!E28</f>
        <v>0</v>
      </c>
      <c r="F17" s="297">
        <f>'[2]6. Rahavood'!F28</f>
        <v>0</v>
      </c>
      <c r="G17" s="297">
        <f>'[2]6. Rahavood'!G28</f>
        <v>0</v>
      </c>
      <c r="H17" s="297">
        <f>'[2]6. Rahavood'!H28</f>
        <v>0</v>
      </c>
      <c r="I17" s="297">
        <f>'[2]6. Rahavood'!I28</f>
        <v>0</v>
      </c>
      <c r="J17" s="297">
        <f>'[2]6. Rahavood'!J28</f>
        <v>0</v>
      </c>
      <c r="K17" s="297">
        <f>'[2]6. Rahavood'!K28</f>
        <v>0</v>
      </c>
      <c r="L17" s="297">
        <f>'[2]6. Rahavood'!L28</f>
        <v>0</v>
      </c>
      <c r="M17" s="297">
        <f>'[2]6. Rahavood'!M28</f>
        <v>0</v>
      </c>
      <c r="N17" s="297">
        <f>'[2]6. Rahavood'!N28</f>
        <v>0</v>
      </c>
      <c r="O17" s="297">
        <f>'[2]6. Rahavood'!O28</f>
        <v>0</v>
      </c>
      <c r="P17" s="297">
        <f>'[2]6. Rahavood'!S28</f>
        <v>0</v>
      </c>
      <c r="Q17" s="297">
        <f>'[2]6. Rahavood'!AD28</f>
        <v>0</v>
      </c>
    </row>
    <row r="18" spans="1:35" ht="16.5" customHeight="1" x14ac:dyDescent="0.35">
      <c r="A18" s="298" t="s">
        <v>137</v>
      </c>
      <c r="B18" s="296" t="s">
        <v>3</v>
      </c>
      <c r="C18" s="297">
        <f>'6. Rahavood'!C29</f>
        <v>0</v>
      </c>
      <c r="D18" s="297">
        <f>'6. Rahavood'!D29</f>
        <v>0</v>
      </c>
      <c r="E18" s="297">
        <f>'6. Rahavood'!E29</f>
        <v>0</v>
      </c>
      <c r="F18" s="297">
        <f>'6. Rahavood'!F29</f>
        <v>0</v>
      </c>
      <c r="G18" s="297">
        <f>'6. Rahavood'!G29</f>
        <v>0</v>
      </c>
      <c r="H18" s="297">
        <f>'6. Rahavood'!H29</f>
        <v>0</v>
      </c>
      <c r="I18" s="297">
        <f>'6. Rahavood'!I29</f>
        <v>0</v>
      </c>
      <c r="J18" s="297">
        <f>'6. Rahavood'!J29</f>
        <v>0</v>
      </c>
      <c r="K18" s="297">
        <f>'6. Rahavood'!K29</f>
        <v>0</v>
      </c>
      <c r="L18" s="297">
        <f>'6. Rahavood'!L29</f>
        <v>0</v>
      </c>
      <c r="M18" s="297">
        <f>'6. Rahavood'!M29</f>
        <v>0</v>
      </c>
      <c r="N18" s="297">
        <f>'6. Rahavood'!N29</f>
        <v>0</v>
      </c>
      <c r="O18" s="297">
        <f>'6. Rahavood'!O29</f>
        <v>0</v>
      </c>
      <c r="P18" s="297">
        <f>'6. Rahavood'!P29</f>
        <v>0</v>
      </c>
      <c r="Q18" s="297">
        <f>'6. Rahavood'!Q29</f>
        <v>0</v>
      </c>
    </row>
    <row r="19" spans="1:35" ht="16.5" customHeight="1" x14ac:dyDescent="0.35">
      <c r="A19" s="298" t="s">
        <v>198</v>
      </c>
      <c r="B19" s="296" t="s">
        <v>3</v>
      </c>
      <c r="C19" s="297">
        <f>'6. Rahavood'!C14</f>
        <v>0</v>
      </c>
      <c r="D19" s="297">
        <f>'6. Rahavood'!D14</f>
        <v>0</v>
      </c>
      <c r="E19" s="297">
        <f>'6. Rahavood'!E14</f>
        <v>0</v>
      </c>
      <c r="F19" s="297">
        <f>'6. Rahavood'!F14</f>
        <v>0</v>
      </c>
      <c r="G19" s="297">
        <f>'6. Rahavood'!G14</f>
        <v>0</v>
      </c>
      <c r="H19" s="297">
        <f>'6. Rahavood'!H14</f>
        <v>0</v>
      </c>
      <c r="I19" s="297">
        <f>'6. Rahavood'!I14</f>
        <v>0</v>
      </c>
      <c r="J19" s="297">
        <f>'6. Rahavood'!J14</f>
        <v>0</v>
      </c>
      <c r="K19" s="297">
        <f>'6. Rahavood'!K14</f>
        <v>0</v>
      </c>
      <c r="L19" s="297">
        <f>'6. Rahavood'!L14</f>
        <v>0</v>
      </c>
      <c r="M19" s="297">
        <f>'6. Rahavood'!M14</f>
        <v>0</v>
      </c>
      <c r="N19" s="297">
        <f>'6. Rahavood'!N14</f>
        <v>0</v>
      </c>
      <c r="O19" s="297">
        <f>'6. Rahavood'!O14</f>
        <v>0</v>
      </c>
      <c r="P19" s="297">
        <f>'6. Rahavood'!P14</f>
        <v>0</v>
      </c>
      <c r="Q19" s="297">
        <f>'6. Rahavood'!Q14</f>
        <v>0</v>
      </c>
    </row>
    <row r="20" spans="1:35" ht="16.5" customHeight="1" x14ac:dyDescent="0.35">
      <c r="A20" s="298" t="s">
        <v>199</v>
      </c>
      <c r="B20" s="296" t="s">
        <v>3</v>
      </c>
      <c r="C20" s="297">
        <f>SUM('6. Rahavood'!C8:C12)</f>
        <v>0</v>
      </c>
      <c r="D20" s="297">
        <f>SUM('6. Rahavood'!D8:D12)</f>
        <v>50217</v>
      </c>
      <c r="E20" s="297">
        <f>SUM('6. Rahavood'!E8:E12)</f>
        <v>72897</v>
      </c>
      <c r="F20" s="297">
        <f>SUM('6. Rahavood'!F8:F12)</f>
        <v>76633</v>
      </c>
      <c r="G20" s="297">
        <f>SUM('6. Rahavood'!G8:G12)</f>
        <v>80540</v>
      </c>
      <c r="H20" s="297">
        <f>SUM('6. Rahavood'!H8:H12)</f>
        <v>80540</v>
      </c>
      <c r="I20" s="297">
        <f>SUM('6. Rahavood'!I8:I12)</f>
        <v>53693</v>
      </c>
      <c r="J20" s="297">
        <f>SUM('6. Rahavood'!J8:J12)</f>
        <v>0</v>
      </c>
      <c r="K20" s="297">
        <f>SUM('6. Rahavood'!K8:K12)</f>
        <v>0</v>
      </c>
      <c r="L20" s="297">
        <f>SUM('6. Rahavood'!L8:L12)</f>
        <v>0</v>
      </c>
      <c r="M20" s="297">
        <f>SUM('6. Rahavood'!M8:M12)</f>
        <v>0</v>
      </c>
      <c r="N20" s="297">
        <f>SUM('6. Rahavood'!N8:N12)</f>
        <v>0</v>
      </c>
      <c r="O20" s="297">
        <f>SUM('6. Rahavood'!O8:O12)</f>
        <v>0</v>
      </c>
      <c r="P20" s="297">
        <f>SUM('6. Rahavood'!P8:P12)</f>
        <v>0</v>
      </c>
      <c r="Q20" s="297">
        <f>SUM('6. Rahavood'!Q8:Q12)</f>
        <v>0</v>
      </c>
    </row>
    <row r="21" spans="1:35" ht="4.5" customHeight="1" x14ac:dyDescent="0.35">
      <c r="A21" s="250"/>
      <c r="B21" s="251"/>
      <c r="C21" s="249"/>
      <c r="D21" s="249"/>
      <c r="E21" s="249"/>
      <c r="F21" s="249"/>
      <c r="G21" s="249"/>
      <c r="H21" s="249"/>
      <c r="I21" s="249"/>
      <c r="J21" s="249"/>
      <c r="K21" s="249"/>
      <c r="L21" s="249"/>
      <c r="M21" s="249"/>
      <c r="N21" s="249"/>
      <c r="O21" s="249"/>
      <c r="P21" s="249"/>
      <c r="Q21" s="249"/>
    </row>
    <row r="22" spans="1:35" s="241" customFormat="1" ht="22.5" customHeight="1" x14ac:dyDescent="0.35">
      <c r="A22" s="300" t="s">
        <v>200</v>
      </c>
      <c r="B22" s="301" t="s">
        <v>3</v>
      </c>
      <c r="C22" s="302">
        <f t="shared" ref="C22:Q22" si="4">SUM(C16:C20)</f>
        <v>0</v>
      </c>
      <c r="D22" s="302">
        <f t="shared" si="4"/>
        <v>109323.15</v>
      </c>
      <c r="E22" s="302">
        <f t="shared" si="4"/>
        <v>337618.55363368004</v>
      </c>
      <c r="F22" s="302">
        <f t="shared" si="4"/>
        <v>345984.70263368002</v>
      </c>
      <c r="G22" s="302">
        <f t="shared" si="4"/>
        <v>353793.31063368003</v>
      </c>
      <c r="H22" s="302">
        <f t="shared" si="4"/>
        <v>354726.86668368004</v>
      </c>
      <c r="I22" s="302">
        <f t="shared" si="4"/>
        <v>327879.86668368004</v>
      </c>
      <c r="J22" s="302">
        <f t="shared" si="4"/>
        <v>274186.86668368004</v>
      </c>
      <c r="K22" s="302">
        <f t="shared" si="4"/>
        <v>274186.86668368004</v>
      </c>
      <c r="L22" s="302">
        <f t="shared" si="4"/>
        <v>274186.86668368004</v>
      </c>
      <c r="M22" s="302">
        <f t="shared" si="4"/>
        <v>274186.86668368004</v>
      </c>
      <c r="N22" s="302">
        <f t="shared" si="4"/>
        <v>274186.86668368004</v>
      </c>
      <c r="O22" s="302">
        <f t="shared" si="4"/>
        <v>274186.86668368004</v>
      </c>
      <c r="P22" s="302">
        <f t="shared" si="4"/>
        <v>274186.86668368004</v>
      </c>
      <c r="Q22" s="302">
        <f t="shared" si="4"/>
        <v>274186.86668368004</v>
      </c>
      <c r="R22" s="3"/>
      <c r="S22" s="3"/>
      <c r="T22" s="3"/>
      <c r="U22" s="3"/>
      <c r="V22" s="3"/>
      <c r="W22" s="3"/>
      <c r="X22" s="3"/>
      <c r="Y22" s="3"/>
      <c r="Z22" s="3"/>
      <c r="AA22" s="3"/>
      <c r="AB22" s="3"/>
      <c r="AC22" s="3"/>
      <c r="AD22" s="3"/>
      <c r="AE22" s="3"/>
      <c r="AF22" s="3"/>
      <c r="AG22" s="3"/>
      <c r="AH22" s="3"/>
      <c r="AI22" s="3"/>
    </row>
    <row r="23" spans="1:35" s="241" customFormat="1" ht="4.5" customHeight="1" x14ac:dyDescent="0.35">
      <c r="A23" s="242"/>
      <c r="B23" s="237"/>
      <c r="C23" s="243"/>
      <c r="D23" s="243"/>
      <c r="E23" s="243"/>
      <c r="F23" s="243"/>
      <c r="G23" s="243"/>
      <c r="H23" s="243"/>
      <c r="I23" s="243"/>
      <c r="J23" s="243"/>
      <c r="K23" s="243"/>
      <c r="L23" s="243"/>
      <c r="M23" s="243"/>
      <c r="N23" s="243"/>
      <c r="O23" s="243"/>
      <c r="P23" s="243"/>
      <c r="Q23" s="244"/>
      <c r="R23" s="3"/>
      <c r="S23" s="3"/>
      <c r="T23" s="3"/>
      <c r="U23" s="3"/>
      <c r="V23" s="3"/>
      <c r="W23" s="3"/>
      <c r="X23" s="3"/>
      <c r="Y23" s="3"/>
      <c r="Z23" s="3"/>
      <c r="AA23" s="3"/>
      <c r="AB23" s="3"/>
      <c r="AC23" s="3"/>
      <c r="AD23" s="3"/>
      <c r="AE23" s="3"/>
      <c r="AF23" s="3"/>
      <c r="AG23" s="3"/>
      <c r="AH23" s="3"/>
      <c r="AI23" s="3"/>
    </row>
    <row r="24" spans="1:35" s="241" customFormat="1" ht="9" customHeight="1" x14ac:dyDescent="0.35">
      <c r="A24" s="252"/>
      <c r="B24" s="246"/>
      <c r="C24" s="253"/>
      <c r="D24" s="253"/>
      <c r="E24" s="253"/>
      <c r="F24" s="253"/>
      <c r="G24" s="253"/>
      <c r="H24" s="253"/>
      <c r="I24" s="253"/>
      <c r="J24" s="253"/>
      <c r="K24" s="253"/>
      <c r="L24" s="253"/>
      <c r="M24" s="253"/>
      <c r="N24" s="253"/>
      <c r="O24" s="253"/>
      <c r="P24" s="253"/>
      <c r="Q24" s="267"/>
      <c r="R24" s="3"/>
      <c r="S24" s="3"/>
      <c r="T24" s="3"/>
      <c r="U24" s="3"/>
      <c r="V24" s="3"/>
      <c r="W24" s="3"/>
      <c r="X24" s="3"/>
      <c r="Y24" s="3"/>
      <c r="Z24" s="3"/>
      <c r="AA24" s="3"/>
      <c r="AB24" s="3"/>
      <c r="AC24" s="3"/>
      <c r="AD24" s="3"/>
      <c r="AE24" s="3"/>
      <c r="AF24" s="3"/>
      <c r="AG24" s="3"/>
      <c r="AH24" s="3"/>
      <c r="AI24" s="3"/>
    </row>
    <row r="25" spans="1:35" s="257" customFormat="1" ht="33" customHeight="1" x14ac:dyDescent="0.35">
      <c r="A25" s="303" t="s">
        <v>201</v>
      </c>
      <c r="B25" s="304" t="s">
        <v>3</v>
      </c>
      <c r="C25" s="305">
        <f t="shared" ref="C25:Q25" si="5">C11-C22</f>
        <v>0</v>
      </c>
      <c r="D25" s="305">
        <f t="shared" si="5"/>
        <v>-109323.15</v>
      </c>
      <c r="E25" s="305">
        <f t="shared" si="5"/>
        <v>-75049.321585679951</v>
      </c>
      <c r="F25" s="305">
        <f t="shared" si="5"/>
        <v>-83415.470585679926</v>
      </c>
      <c r="G25" s="305">
        <f t="shared" si="5"/>
        <v>-91224.078585679934</v>
      </c>
      <c r="H25" s="305">
        <f t="shared" si="5"/>
        <v>-92157.634635679948</v>
      </c>
      <c r="I25" s="305">
        <f t="shared" si="5"/>
        <v>-65310.634635679948</v>
      </c>
      <c r="J25" s="305">
        <f t="shared" si="5"/>
        <v>-11617.634635679948</v>
      </c>
      <c r="K25" s="305">
        <f t="shared" si="5"/>
        <v>-11617.634635679948</v>
      </c>
      <c r="L25" s="305">
        <f t="shared" si="5"/>
        <v>-11617.634635679948</v>
      </c>
      <c r="M25" s="305">
        <f t="shared" si="5"/>
        <v>-11617.634635679948</v>
      </c>
      <c r="N25" s="305">
        <f t="shared" si="5"/>
        <v>-11617.634635679948</v>
      </c>
      <c r="O25" s="305">
        <f t="shared" si="5"/>
        <v>-11617.634635679948</v>
      </c>
      <c r="P25" s="305">
        <f t="shared" si="5"/>
        <v>-11617.634635679948</v>
      </c>
      <c r="Q25" s="305">
        <f t="shared" si="5"/>
        <v>-11617.634635679948</v>
      </c>
      <c r="R25" s="256"/>
      <c r="S25" s="256"/>
      <c r="T25" s="256"/>
      <c r="U25" s="256"/>
      <c r="V25" s="256"/>
      <c r="W25" s="256"/>
      <c r="X25" s="256"/>
      <c r="Y25" s="256"/>
      <c r="Z25" s="256"/>
      <c r="AA25" s="256"/>
      <c r="AB25" s="256"/>
      <c r="AC25" s="256"/>
      <c r="AD25" s="256"/>
      <c r="AE25" s="256"/>
      <c r="AF25" s="256"/>
      <c r="AG25" s="256"/>
      <c r="AH25" s="256"/>
      <c r="AI25" s="256"/>
    </row>
    <row r="26" spans="1:35" ht="4.5" customHeight="1" x14ac:dyDescent="0.35">
      <c r="A26" s="229"/>
      <c r="B26" s="237"/>
      <c r="C26" s="18"/>
      <c r="D26" s="18"/>
      <c r="E26" s="18"/>
      <c r="F26" s="18"/>
      <c r="G26" s="18"/>
      <c r="H26" s="18"/>
      <c r="I26" s="18"/>
      <c r="J26" s="18"/>
      <c r="K26" s="18"/>
      <c r="L26" s="18"/>
      <c r="M26" s="18"/>
      <c r="N26" s="18"/>
      <c r="O26" s="18"/>
      <c r="P26" s="18"/>
      <c r="Q26" s="18"/>
    </row>
    <row r="28" spans="1:35" ht="16.5" customHeight="1" x14ac:dyDescent="0.35">
      <c r="A28" s="989" t="s">
        <v>202</v>
      </c>
      <c r="B28" s="989"/>
      <c r="C28" s="990">
        <f>'5. Abikõlblik kulu'!C3</f>
        <v>0.04</v>
      </c>
      <c r="D28" s="990"/>
    </row>
    <row r="29" spans="1:35" ht="18.75" customHeight="1" x14ac:dyDescent="0.35">
      <c r="A29" s="989" t="s">
        <v>203</v>
      </c>
      <c r="B29" s="989"/>
      <c r="C29" s="991">
        <f>NPV(C28,C25:Q25)</f>
        <v>-495981.32466835715</v>
      </c>
      <c r="D29" s="991"/>
    </row>
    <row r="30" spans="1:35" ht="18.75" customHeight="1" x14ac:dyDescent="0.35">
      <c r="A30" s="989" t="s">
        <v>204</v>
      </c>
      <c r="B30" s="989"/>
      <c r="C30" s="990" t="e">
        <f>IRR(C25:Q25,J30)</f>
        <v>#NUM!</v>
      </c>
      <c r="D30" s="992"/>
      <c r="I30" s="72" t="s">
        <v>205</v>
      </c>
      <c r="J30" s="306">
        <v>-0.09</v>
      </c>
    </row>
    <row r="33" spans="1:17" ht="18.5" x14ac:dyDescent="0.35">
      <c r="A33" s="286" t="s">
        <v>206</v>
      </c>
      <c r="H33" s="287" t="s">
        <v>207</v>
      </c>
    </row>
    <row r="35" spans="1:17" ht="21" customHeight="1" x14ac:dyDescent="0.35">
      <c r="A35" s="224"/>
      <c r="B35" s="225"/>
      <c r="C35" s="288">
        <f>C3</f>
        <v>2023</v>
      </c>
      <c r="D35" s="288">
        <f>C35+1</f>
        <v>2024</v>
      </c>
      <c r="E35" s="288">
        <f t="shared" ref="E35:O35" si="6">D35+1</f>
        <v>2025</v>
      </c>
      <c r="F35" s="288">
        <f t="shared" si="6"/>
        <v>2026</v>
      </c>
      <c r="G35" s="288">
        <f t="shared" si="6"/>
        <v>2027</v>
      </c>
      <c r="H35" s="288">
        <f t="shared" si="6"/>
        <v>2028</v>
      </c>
      <c r="I35" s="288">
        <f t="shared" si="6"/>
        <v>2029</v>
      </c>
      <c r="J35" s="288">
        <f t="shared" si="6"/>
        <v>2030</v>
      </c>
      <c r="K35" s="288">
        <f t="shared" si="6"/>
        <v>2031</v>
      </c>
      <c r="L35" s="288">
        <f t="shared" si="6"/>
        <v>2032</v>
      </c>
      <c r="M35" s="288">
        <f t="shared" si="6"/>
        <v>2033</v>
      </c>
      <c r="N35" s="288">
        <f t="shared" si="6"/>
        <v>2034</v>
      </c>
      <c r="O35" s="288">
        <f t="shared" si="6"/>
        <v>2035</v>
      </c>
      <c r="P35" s="288">
        <f t="shared" ref="P35" si="7">O35+1</f>
        <v>2036</v>
      </c>
      <c r="Q35" s="288">
        <f t="shared" ref="Q35" si="8">P35+1</f>
        <v>2037</v>
      </c>
    </row>
    <row r="36" spans="1:17" ht="4.5" customHeight="1" x14ac:dyDescent="0.35">
      <c r="A36" s="229"/>
      <c r="B36" s="230"/>
      <c r="C36" s="290"/>
      <c r="D36" s="290"/>
      <c r="E36" s="290"/>
      <c r="F36" s="290"/>
      <c r="G36" s="290"/>
      <c r="H36" s="290"/>
      <c r="I36" s="290"/>
      <c r="J36" s="290"/>
      <c r="K36" s="290"/>
      <c r="L36" s="290"/>
      <c r="M36" s="290"/>
      <c r="N36" s="290"/>
      <c r="O36" s="290"/>
      <c r="P36" s="290"/>
      <c r="Q36" s="291"/>
    </row>
    <row r="37" spans="1:17" ht="15.5" x14ac:dyDescent="0.35">
      <c r="A37" s="293" t="s">
        <v>192</v>
      </c>
      <c r="B37" s="294" t="s">
        <v>2</v>
      </c>
      <c r="C37" s="72"/>
      <c r="D37" s="72"/>
      <c r="E37" s="72"/>
      <c r="F37" s="72"/>
      <c r="G37" s="72"/>
      <c r="H37" s="72"/>
      <c r="I37" s="72"/>
      <c r="J37" s="72"/>
      <c r="K37" s="72"/>
      <c r="L37" s="72"/>
      <c r="M37" s="72"/>
      <c r="N37" s="72"/>
      <c r="O37" s="72"/>
      <c r="P37" s="72"/>
      <c r="Q37" s="72"/>
    </row>
    <row r="38" spans="1:17" ht="4.5" customHeight="1" x14ac:dyDescent="0.35">
      <c r="A38" s="231"/>
      <c r="B38" s="230"/>
      <c r="C38" s="74"/>
      <c r="D38" s="74"/>
      <c r="E38" s="74"/>
      <c r="F38" s="74"/>
      <c r="G38" s="74"/>
      <c r="H38" s="74"/>
      <c r="I38" s="74"/>
      <c r="J38" s="74"/>
      <c r="K38" s="74"/>
      <c r="L38" s="74"/>
      <c r="M38" s="74"/>
      <c r="N38" s="74"/>
      <c r="O38" s="74"/>
      <c r="P38" s="74"/>
      <c r="Q38" s="134"/>
    </row>
    <row r="39" spans="1:17" x14ac:dyDescent="0.35">
      <c r="A39" s="295" t="str">
        <f>A7</f>
        <v>Lisanduvad (juurdekasvulised) tulud</v>
      </c>
      <c r="B39" s="296" t="s">
        <v>3</v>
      </c>
      <c r="C39" s="297">
        <f>'4. Lisanduvad tulud-kulud'!D53</f>
        <v>0</v>
      </c>
      <c r="D39" s="297">
        <f>'4. Lisanduvad tulud-kulud'!E53</f>
        <v>0</v>
      </c>
      <c r="E39" s="297">
        <f>'4. Lisanduvad tulud-kulud'!F53</f>
        <v>262569.23204800009</v>
      </c>
      <c r="F39" s="297">
        <f>'4. Lisanduvad tulud-kulud'!G53</f>
        <v>262569.23204800009</v>
      </c>
      <c r="G39" s="297">
        <f>'4. Lisanduvad tulud-kulud'!H53</f>
        <v>262569.23204800009</v>
      </c>
      <c r="H39" s="297">
        <f>'4. Lisanduvad tulud-kulud'!I53</f>
        <v>262569.23204800009</v>
      </c>
      <c r="I39" s="297">
        <f>'4. Lisanduvad tulud-kulud'!J53</f>
        <v>262569.23204800009</v>
      </c>
      <c r="J39" s="297">
        <f>'4. Lisanduvad tulud-kulud'!K53</f>
        <v>262569.23204800009</v>
      </c>
      <c r="K39" s="297">
        <f>'4. Lisanduvad tulud-kulud'!L53</f>
        <v>262569.23204800009</v>
      </c>
      <c r="L39" s="297">
        <f>'4. Lisanduvad tulud-kulud'!M53</f>
        <v>262569.23204800009</v>
      </c>
      <c r="M39" s="297">
        <f>'4. Lisanduvad tulud-kulud'!N53</f>
        <v>262569.23204800009</v>
      </c>
      <c r="N39" s="297">
        <f>'4. Lisanduvad tulud-kulud'!O53</f>
        <v>262569.23204800009</v>
      </c>
      <c r="O39" s="297">
        <f>'4. Lisanduvad tulud-kulud'!P53</f>
        <v>262569.23204800009</v>
      </c>
      <c r="P39" s="297">
        <f>'4. Lisanduvad tulud-kulud'!Q53</f>
        <v>262569.23204800009</v>
      </c>
      <c r="Q39" s="297">
        <f>'4. Lisanduvad tulud-kulud'!R53</f>
        <v>262569.23204800009</v>
      </c>
    </row>
    <row r="40" spans="1:17" ht="4.5" customHeight="1" x14ac:dyDescent="0.35">
      <c r="A40" s="229"/>
      <c r="B40" s="237"/>
      <c r="C40" s="18"/>
      <c r="D40" s="18"/>
      <c r="E40" s="18"/>
      <c r="F40" s="18"/>
      <c r="G40" s="18"/>
      <c r="H40" s="18"/>
      <c r="I40" s="18"/>
      <c r="J40" s="18"/>
      <c r="K40" s="18"/>
      <c r="L40" s="18"/>
      <c r="M40" s="18"/>
      <c r="N40" s="18"/>
      <c r="O40" s="18"/>
      <c r="P40" s="18"/>
      <c r="Q40" s="19"/>
    </row>
    <row r="41" spans="1:17" ht="15.5" x14ac:dyDescent="0.35">
      <c r="A41" s="300" t="s">
        <v>195</v>
      </c>
      <c r="B41" s="301" t="s">
        <v>3</v>
      </c>
      <c r="C41" s="302">
        <f t="shared" ref="C41:Q41" si="9">SUM(C39:C39)</f>
        <v>0</v>
      </c>
      <c r="D41" s="302">
        <f t="shared" si="9"/>
        <v>0</v>
      </c>
      <c r="E41" s="302">
        <f t="shared" si="9"/>
        <v>262569.23204800009</v>
      </c>
      <c r="F41" s="302">
        <f t="shared" si="9"/>
        <v>262569.23204800009</v>
      </c>
      <c r="G41" s="302">
        <f t="shared" si="9"/>
        <v>262569.23204800009</v>
      </c>
      <c r="H41" s="302">
        <f t="shared" si="9"/>
        <v>262569.23204800009</v>
      </c>
      <c r="I41" s="302">
        <f t="shared" si="9"/>
        <v>262569.23204800009</v>
      </c>
      <c r="J41" s="302">
        <f t="shared" si="9"/>
        <v>262569.23204800009</v>
      </c>
      <c r="K41" s="302">
        <f t="shared" si="9"/>
        <v>262569.23204800009</v>
      </c>
      <c r="L41" s="302">
        <f t="shared" si="9"/>
        <v>262569.23204800009</v>
      </c>
      <c r="M41" s="302">
        <f t="shared" si="9"/>
        <v>262569.23204800009</v>
      </c>
      <c r="N41" s="302">
        <f t="shared" si="9"/>
        <v>262569.23204800009</v>
      </c>
      <c r="O41" s="302">
        <f t="shared" si="9"/>
        <v>262569.23204800009</v>
      </c>
      <c r="P41" s="302">
        <f t="shared" si="9"/>
        <v>262569.23204800009</v>
      </c>
      <c r="Q41" s="302">
        <f t="shared" si="9"/>
        <v>262569.23204800009</v>
      </c>
    </row>
    <row r="42" spans="1:17" ht="4.5" customHeight="1" x14ac:dyDescent="0.35">
      <c r="A42" s="242"/>
      <c r="B42" s="237"/>
      <c r="C42" s="243"/>
      <c r="D42" s="243"/>
      <c r="E42" s="243"/>
      <c r="F42" s="243"/>
      <c r="G42" s="243"/>
      <c r="H42" s="243"/>
      <c r="I42" s="243"/>
      <c r="J42" s="243"/>
      <c r="K42" s="243"/>
      <c r="L42" s="243"/>
      <c r="M42" s="243"/>
      <c r="N42" s="243"/>
      <c r="O42" s="243"/>
      <c r="P42" s="243"/>
      <c r="Q42" s="244"/>
    </row>
    <row r="43" spans="1:17" x14ac:dyDescent="0.35">
      <c r="A43" s="245"/>
      <c r="B43" s="246"/>
      <c r="C43" s="247"/>
      <c r="D43" s="247"/>
      <c r="E43" s="247"/>
      <c r="F43" s="247"/>
      <c r="G43" s="247"/>
      <c r="H43" s="247"/>
      <c r="I43" s="247"/>
      <c r="J43" s="247"/>
      <c r="K43" s="247"/>
      <c r="L43" s="247"/>
      <c r="M43" s="247"/>
      <c r="N43" s="247"/>
      <c r="O43" s="247"/>
      <c r="P43" s="247"/>
      <c r="Q43" s="247"/>
    </row>
    <row r="44" spans="1:17" ht="15.5" x14ac:dyDescent="0.35">
      <c r="A44" s="293" t="s">
        <v>196</v>
      </c>
      <c r="B44" s="248"/>
      <c r="C44" s="11"/>
      <c r="D44" s="11"/>
      <c r="E44" s="11"/>
      <c r="F44" s="11"/>
      <c r="G44" s="11"/>
      <c r="H44" s="11"/>
      <c r="I44" s="11"/>
      <c r="J44" s="11"/>
      <c r="K44" s="11"/>
      <c r="L44" s="11"/>
      <c r="M44" s="11"/>
      <c r="N44" s="11"/>
      <c r="O44" s="11"/>
      <c r="P44" s="11"/>
      <c r="Q44" s="11"/>
    </row>
    <row r="45" spans="1:17" ht="4.5" customHeight="1" x14ac:dyDescent="0.35">
      <c r="A45" s="231"/>
      <c r="B45" s="237"/>
      <c r="C45" s="18"/>
      <c r="D45" s="18"/>
      <c r="E45" s="18"/>
      <c r="F45" s="18"/>
      <c r="G45" s="18"/>
      <c r="H45" s="18"/>
      <c r="I45" s="18"/>
      <c r="J45" s="18"/>
      <c r="K45" s="18"/>
      <c r="L45" s="18"/>
      <c r="M45" s="18"/>
      <c r="N45" s="18"/>
      <c r="O45" s="18"/>
      <c r="P45" s="18"/>
      <c r="Q45" s="19"/>
    </row>
    <row r="46" spans="1:17" x14ac:dyDescent="0.35">
      <c r="A46" s="298" t="str">
        <f>A16</f>
        <v>Lisanduvad (juurdekasvulised) kulud</v>
      </c>
      <c r="B46" s="296" t="s">
        <v>3</v>
      </c>
      <c r="C46" s="297">
        <f>'4. Lisanduvad tulud-kulud'!D118</f>
        <v>0</v>
      </c>
      <c r="D46" s="297">
        <f>'4. Lisanduvad tulud-kulud'!E118</f>
        <v>59106.15</v>
      </c>
      <c r="E46" s="297">
        <f>'4. Lisanduvad tulud-kulud'!F118</f>
        <v>264721.55363368004</v>
      </c>
      <c r="F46" s="297">
        <f>'4. Lisanduvad tulud-kulud'!G118</f>
        <v>269351.70263368002</v>
      </c>
      <c r="G46" s="297">
        <f>'4. Lisanduvad tulud-kulud'!H118</f>
        <v>273253.31063368003</v>
      </c>
      <c r="H46" s="297">
        <f>'4. Lisanduvad tulud-kulud'!I118</f>
        <v>274186.86668368004</v>
      </c>
      <c r="I46" s="297">
        <f>'4. Lisanduvad tulud-kulud'!J118</f>
        <v>274186.86668368004</v>
      </c>
      <c r="J46" s="297">
        <f>'4. Lisanduvad tulud-kulud'!K118</f>
        <v>274186.86668368004</v>
      </c>
      <c r="K46" s="297">
        <f>'4. Lisanduvad tulud-kulud'!L118</f>
        <v>274186.86668368004</v>
      </c>
      <c r="L46" s="297">
        <f>'4. Lisanduvad tulud-kulud'!M118</f>
        <v>274186.86668368004</v>
      </c>
      <c r="M46" s="297">
        <f>'4. Lisanduvad tulud-kulud'!N118</f>
        <v>274186.86668368004</v>
      </c>
      <c r="N46" s="297">
        <f>'4. Lisanduvad tulud-kulud'!O118</f>
        <v>274186.86668368004</v>
      </c>
      <c r="O46" s="297">
        <f>'4. Lisanduvad tulud-kulud'!P118</f>
        <v>274186.86668368004</v>
      </c>
      <c r="P46" s="297">
        <f>'4. Lisanduvad tulud-kulud'!Q118</f>
        <v>274186.86668368004</v>
      </c>
      <c r="Q46" s="297">
        <f>'4. Lisanduvad tulud-kulud'!R118</f>
        <v>274186.86668368004</v>
      </c>
    </row>
    <row r="47" spans="1:17" x14ac:dyDescent="0.35">
      <c r="A47" s="298" t="s">
        <v>208</v>
      </c>
      <c r="B47" s="296" t="s">
        <v>3</v>
      </c>
      <c r="C47" s="297">
        <f>'1. Projekti elluviimise kulud'!D19</f>
        <v>0</v>
      </c>
      <c r="D47" s="297">
        <f>'1. Projekti elluviimise kulud'!E19</f>
        <v>8463724.9976799991</v>
      </c>
      <c r="E47" s="297">
        <f>'1. Projekti elluviimise kulud'!F19</f>
        <v>0</v>
      </c>
      <c r="F47" s="297">
        <f>'1. Projekti elluviimise kulud'!G19</f>
        <v>0</v>
      </c>
      <c r="G47" s="297">
        <f>'1. Projekti elluviimise kulud'!H19</f>
        <v>0</v>
      </c>
      <c r="H47" s="297">
        <f>'1. Projekti elluviimise kulud'!I19</f>
        <v>0</v>
      </c>
      <c r="I47" s="249"/>
      <c r="J47" s="249"/>
      <c r="K47" s="249"/>
      <c r="L47" s="249"/>
      <c r="M47" s="249"/>
      <c r="N47" s="249"/>
      <c r="O47" s="249"/>
      <c r="P47" s="249"/>
      <c r="Q47" s="249"/>
    </row>
    <row r="48" spans="1:17" x14ac:dyDescent="0.35">
      <c r="A48" s="298" t="s">
        <v>194</v>
      </c>
      <c r="B48" s="296" t="s">
        <v>3</v>
      </c>
      <c r="C48" s="249"/>
      <c r="D48" s="249"/>
      <c r="E48" s="249"/>
      <c r="F48" s="249"/>
      <c r="G48" s="249"/>
      <c r="H48" s="249"/>
      <c r="I48" s="249"/>
      <c r="J48" s="249"/>
      <c r="K48" s="249"/>
      <c r="L48" s="249"/>
      <c r="M48" s="249"/>
      <c r="N48" s="249"/>
      <c r="O48" s="249"/>
      <c r="P48" s="249"/>
      <c r="Q48" s="297">
        <f>-Q8</f>
        <v>0</v>
      </c>
    </row>
    <row r="49" spans="1:17" ht="4.5" customHeight="1" x14ac:dyDescent="0.35">
      <c r="A49" s="250"/>
      <c r="B49" s="251"/>
      <c r="C49" s="249"/>
      <c r="D49" s="249"/>
      <c r="E49" s="249"/>
      <c r="F49" s="249"/>
      <c r="G49" s="249"/>
      <c r="H49" s="249"/>
      <c r="I49" s="249"/>
      <c r="J49" s="249"/>
      <c r="K49" s="249"/>
      <c r="L49" s="249"/>
      <c r="M49" s="249"/>
      <c r="N49" s="249"/>
      <c r="O49" s="249"/>
      <c r="P49" s="249"/>
      <c r="Q49" s="249"/>
    </row>
    <row r="50" spans="1:17" ht="15.5" x14ac:dyDescent="0.35">
      <c r="A50" s="300" t="s">
        <v>200</v>
      </c>
      <c r="B50" s="301" t="s">
        <v>3</v>
      </c>
      <c r="C50" s="302">
        <f t="shared" ref="C50:Q50" si="10">SUM(C46:C48)</f>
        <v>0</v>
      </c>
      <c r="D50" s="302">
        <f t="shared" si="10"/>
        <v>8522831.1476799995</v>
      </c>
      <c r="E50" s="302">
        <f t="shared" si="10"/>
        <v>264721.55363368004</v>
      </c>
      <c r="F50" s="302">
        <f t="shared" si="10"/>
        <v>269351.70263368002</v>
      </c>
      <c r="G50" s="302">
        <f t="shared" si="10"/>
        <v>273253.31063368003</v>
      </c>
      <c r="H50" s="302">
        <f t="shared" si="10"/>
        <v>274186.86668368004</v>
      </c>
      <c r="I50" s="302">
        <f t="shared" si="10"/>
        <v>274186.86668368004</v>
      </c>
      <c r="J50" s="302">
        <f t="shared" si="10"/>
        <v>274186.86668368004</v>
      </c>
      <c r="K50" s="302">
        <f t="shared" si="10"/>
        <v>274186.86668368004</v>
      </c>
      <c r="L50" s="302">
        <f t="shared" si="10"/>
        <v>274186.86668368004</v>
      </c>
      <c r="M50" s="302">
        <f t="shared" si="10"/>
        <v>274186.86668368004</v>
      </c>
      <c r="N50" s="302">
        <f t="shared" si="10"/>
        <v>274186.86668368004</v>
      </c>
      <c r="O50" s="302">
        <f t="shared" si="10"/>
        <v>274186.86668368004</v>
      </c>
      <c r="P50" s="302">
        <f t="shared" si="10"/>
        <v>274186.86668368004</v>
      </c>
      <c r="Q50" s="302">
        <f t="shared" si="10"/>
        <v>274186.86668368004</v>
      </c>
    </row>
    <row r="51" spans="1:17" ht="4.5" customHeight="1" x14ac:dyDescent="0.35">
      <c r="A51" s="242"/>
      <c r="B51" s="237"/>
      <c r="C51" s="243"/>
      <c r="D51" s="243"/>
      <c r="E51" s="243"/>
      <c r="F51" s="243"/>
      <c r="G51" s="243"/>
      <c r="H51" s="243"/>
      <c r="I51" s="243"/>
      <c r="J51" s="243"/>
      <c r="K51" s="243"/>
      <c r="L51" s="243"/>
      <c r="M51" s="243"/>
      <c r="N51" s="243"/>
      <c r="O51" s="243"/>
      <c r="P51" s="243"/>
      <c r="Q51" s="244"/>
    </row>
    <row r="52" spans="1:17" ht="15.5" x14ac:dyDescent="0.35">
      <c r="A52" s="252"/>
      <c r="B52" s="246"/>
      <c r="C52" s="253"/>
      <c r="D52" s="253"/>
      <c r="E52" s="253"/>
      <c r="F52" s="253"/>
      <c r="G52" s="253"/>
      <c r="H52" s="253"/>
      <c r="I52" s="253"/>
      <c r="J52" s="253"/>
      <c r="K52" s="253"/>
      <c r="L52" s="253"/>
      <c r="M52" s="253"/>
      <c r="N52" s="253"/>
      <c r="O52" s="253"/>
      <c r="P52" s="253"/>
      <c r="Q52" s="267"/>
    </row>
    <row r="53" spans="1:17" ht="29" x14ac:dyDescent="0.35">
      <c r="A53" s="303" t="s">
        <v>201</v>
      </c>
      <c r="B53" s="304" t="s">
        <v>3</v>
      </c>
      <c r="C53" s="305">
        <f t="shared" ref="C53:Q53" si="11">C41-C50</f>
        <v>0</v>
      </c>
      <c r="D53" s="305">
        <f t="shared" si="11"/>
        <v>-8522831.1476799995</v>
      </c>
      <c r="E53" s="305">
        <f t="shared" si="11"/>
        <v>-2152.3215856799507</v>
      </c>
      <c r="F53" s="305">
        <f t="shared" si="11"/>
        <v>-6782.4705856799264</v>
      </c>
      <c r="G53" s="305">
        <f t="shared" si="11"/>
        <v>-10684.078585679934</v>
      </c>
      <c r="H53" s="305">
        <f t="shared" si="11"/>
        <v>-11617.634635679948</v>
      </c>
      <c r="I53" s="305">
        <f t="shared" si="11"/>
        <v>-11617.634635679948</v>
      </c>
      <c r="J53" s="305">
        <f t="shared" si="11"/>
        <v>-11617.634635679948</v>
      </c>
      <c r="K53" s="305">
        <f t="shared" si="11"/>
        <v>-11617.634635679948</v>
      </c>
      <c r="L53" s="305">
        <f t="shared" si="11"/>
        <v>-11617.634635679948</v>
      </c>
      <c r="M53" s="305">
        <f t="shared" si="11"/>
        <v>-11617.634635679948</v>
      </c>
      <c r="N53" s="305">
        <f t="shared" si="11"/>
        <v>-11617.634635679948</v>
      </c>
      <c r="O53" s="305">
        <f t="shared" si="11"/>
        <v>-11617.634635679948</v>
      </c>
      <c r="P53" s="305">
        <f t="shared" si="11"/>
        <v>-11617.634635679948</v>
      </c>
      <c r="Q53" s="305">
        <f t="shared" si="11"/>
        <v>-11617.634635679948</v>
      </c>
    </row>
    <row r="54" spans="1:17" ht="4.5" customHeight="1" x14ac:dyDescent="0.35">
      <c r="A54" s="229"/>
      <c r="B54" s="237"/>
      <c r="C54" s="18"/>
      <c r="D54" s="18"/>
      <c r="E54" s="18"/>
      <c r="F54" s="18"/>
      <c r="G54" s="18"/>
      <c r="H54" s="18"/>
      <c r="I54" s="18"/>
      <c r="J54" s="18"/>
      <c r="K54" s="18"/>
      <c r="L54" s="18"/>
      <c r="M54" s="18"/>
      <c r="N54" s="18"/>
      <c r="O54" s="18"/>
      <c r="P54" s="18"/>
      <c r="Q54" s="18"/>
    </row>
    <row r="56" spans="1:17" x14ac:dyDescent="0.35">
      <c r="A56" s="989" t="s">
        <v>202</v>
      </c>
      <c r="B56" s="989"/>
      <c r="C56" s="990">
        <f>C28</f>
        <v>0.04</v>
      </c>
      <c r="D56" s="990"/>
    </row>
    <row r="57" spans="1:17" ht="34.5" customHeight="1" x14ac:dyDescent="0.35">
      <c r="A57" s="993" t="s">
        <v>209</v>
      </c>
      <c r="B57" s="993"/>
      <c r="C57" s="991">
        <f>NPV(C56,C53:Q53)</f>
        <v>-7973778.8318437636</v>
      </c>
      <c r="D57" s="991"/>
      <c r="H57"/>
      <c r="I57"/>
      <c r="J57"/>
      <c r="K57"/>
    </row>
    <row r="58" spans="1:17" ht="19.5" customHeight="1" x14ac:dyDescent="0.35">
      <c r="A58" s="989" t="s">
        <v>210</v>
      </c>
      <c r="B58" s="989"/>
      <c r="C58" s="990" t="e">
        <f>IRR(C53:Q53,J30)</f>
        <v>#NUM!</v>
      </c>
      <c r="D58" s="992"/>
      <c r="H58"/>
      <c r="I58"/>
      <c r="J58"/>
      <c r="K58"/>
    </row>
    <row r="59" spans="1:17" x14ac:dyDescent="0.35">
      <c r="H59"/>
      <c r="I59"/>
      <c r="J59"/>
      <c r="K59"/>
    </row>
    <row r="60" spans="1:17" x14ac:dyDescent="0.35">
      <c r="H60"/>
      <c r="I60"/>
      <c r="J60"/>
      <c r="K60"/>
    </row>
  </sheetData>
  <mergeCells count="12">
    <mergeCell ref="A56:B56"/>
    <mergeCell ref="C56:D56"/>
    <mergeCell ref="A57:B57"/>
    <mergeCell ref="C57:D57"/>
    <mergeCell ref="A58:B58"/>
    <mergeCell ref="C58:D58"/>
    <mergeCell ref="A28:B28"/>
    <mergeCell ref="C28:D28"/>
    <mergeCell ref="A29:B29"/>
    <mergeCell ref="C29:D29"/>
    <mergeCell ref="A30:B30"/>
    <mergeCell ref="C30:D30"/>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H26"/>
  <sheetViews>
    <sheetView showGridLines="0" topLeftCell="A10" workbookViewId="0">
      <selection activeCell="G12" sqref="G12"/>
    </sheetView>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8" ht="18.5" x14ac:dyDescent="0.35">
      <c r="A1" s="110" t="s">
        <v>91</v>
      </c>
    </row>
    <row r="2" spans="1:8" ht="18.5" x14ac:dyDescent="0.35">
      <c r="A2" s="101"/>
      <c r="H2" s="872"/>
    </row>
    <row r="3" spans="1:8" ht="18.75" customHeight="1" x14ac:dyDescent="0.35">
      <c r="B3" s="116" t="s">
        <v>87</v>
      </c>
      <c r="C3" s="111">
        <v>0.04</v>
      </c>
    </row>
    <row r="4" spans="1:8" ht="18.75" customHeight="1" x14ac:dyDescent="0.35">
      <c r="B4" s="126" t="s">
        <v>114</v>
      </c>
      <c r="C4" s="127">
        <f>Esileht!B10</f>
        <v>2023</v>
      </c>
    </row>
    <row r="5" spans="1:8" ht="18.75" customHeight="1" x14ac:dyDescent="0.35">
      <c r="B5" s="126" t="s">
        <v>115</v>
      </c>
      <c r="C5" s="127">
        <f>Esileht!B11</f>
        <v>2037</v>
      </c>
    </row>
    <row r="6" spans="1:8" ht="18.75" customHeight="1" x14ac:dyDescent="0.35">
      <c r="B6" s="113" t="s">
        <v>116</v>
      </c>
      <c r="C6" s="112">
        <f>IF(C5&gt;0,C5-C4+1,"")</f>
        <v>15</v>
      </c>
      <c r="D6" s="71" t="s">
        <v>88</v>
      </c>
    </row>
    <row r="8" spans="1:8" ht="36.75" customHeight="1" x14ac:dyDescent="0.35">
      <c r="A8" s="112" t="s">
        <v>89</v>
      </c>
      <c r="B8" s="113" t="s">
        <v>90</v>
      </c>
      <c r="C8" s="114" t="s">
        <v>103</v>
      </c>
      <c r="D8" s="114" t="s">
        <v>104</v>
      </c>
    </row>
    <row r="9" spans="1:8" ht="21.75" customHeight="1" x14ac:dyDescent="0.35">
      <c r="A9" s="112">
        <v>1</v>
      </c>
      <c r="B9" s="117" t="s">
        <v>92</v>
      </c>
      <c r="C9" s="106">
        <f>'1. Projekti elluviimise kulud'!J19</f>
        <v>8463724.9976799991</v>
      </c>
      <c r="D9" s="144">
        <f>NPV(C3,'1. Projekti elluviimise kulud'!D19:I19)</f>
        <v>7825189.5318786968</v>
      </c>
    </row>
    <row r="10" spans="1:8" ht="21.75" customHeight="1" x14ac:dyDescent="0.35">
      <c r="A10" s="112">
        <v>2</v>
      </c>
      <c r="B10" s="117" t="s">
        <v>93</v>
      </c>
      <c r="C10" s="106">
        <f>'8. Jääkväärtus'!Q14</f>
        <v>0</v>
      </c>
      <c r="D10" s="144">
        <f>'8. Jääkväärtus'!C17</f>
        <v>0</v>
      </c>
      <c r="G10" s="351" t="str">
        <f>'8. Jääkväärtus'!C9</f>
        <v>Jääkväärtust ei ole vaja arvutada</v>
      </c>
    </row>
    <row r="11" spans="1:8" ht="21.75" customHeight="1" x14ac:dyDescent="0.35">
      <c r="A11" s="112">
        <v>3</v>
      </c>
      <c r="B11" s="117" t="s">
        <v>94</v>
      </c>
      <c r="C11" s="108"/>
      <c r="D11" s="144">
        <f>NPV(C3,'4. Lisanduvad tulud-kulud'!D53:R53)</f>
        <v>2424116.019408471</v>
      </c>
    </row>
    <row r="12" spans="1:8" ht="21.75" customHeight="1" x14ac:dyDescent="0.35">
      <c r="A12" s="112">
        <v>4</v>
      </c>
      <c r="B12" s="117" t="s">
        <v>95</v>
      </c>
      <c r="C12" s="108"/>
      <c r="D12" s="144">
        <f>NPV(C3,'4. Lisanduvad tulud-kulud'!D118:R118)</f>
        <v>2572705.3193735383</v>
      </c>
      <c r="F12" s="128">
        <f>D10+D11-D12</f>
        <v>-148589.2999650673</v>
      </c>
    </row>
    <row r="13" spans="1:8" ht="21.75" customHeight="1" x14ac:dyDescent="0.35">
      <c r="A13" s="112">
        <v>5</v>
      </c>
      <c r="B13" s="117" t="s">
        <v>96</v>
      </c>
      <c r="C13" s="108"/>
      <c r="D13" s="144">
        <f>IF((D10+D11-D12)&lt;0,0,D10+D11-D12)</f>
        <v>0</v>
      </c>
      <c r="F13" s="128">
        <f>NPV(C3,'4. Lisanduvad tulud-kulud'!D121:R121)</f>
        <v>-148589.29996506765</v>
      </c>
    </row>
    <row r="14" spans="1:8" ht="21.75" customHeight="1" x14ac:dyDescent="0.35">
      <c r="A14" s="112">
        <v>6</v>
      </c>
      <c r="B14" s="117" t="s">
        <v>97</v>
      </c>
      <c r="C14" s="108"/>
      <c r="D14" s="144">
        <f>D9-D13</f>
        <v>7825189.5318786968</v>
      </c>
    </row>
    <row r="15" spans="1:8" ht="21.75" customHeight="1" x14ac:dyDescent="0.35">
      <c r="A15" s="112">
        <v>7</v>
      </c>
      <c r="B15" s="117" t="s">
        <v>98</v>
      </c>
      <c r="C15" s="108"/>
      <c r="D15" s="109">
        <f>D14/D9</f>
        <v>1</v>
      </c>
    </row>
    <row r="16" spans="1:8" ht="36.75" customHeight="1" x14ac:dyDescent="0.35">
      <c r="A16" s="112">
        <v>8</v>
      </c>
      <c r="B16" s="117" t="s">
        <v>99</v>
      </c>
      <c r="C16" s="106">
        <f>'1. Projekti elluviimise kulud'!J41</f>
        <v>8463724.9976799991</v>
      </c>
      <c r="D16" s="108"/>
    </row>
    <row r="17" spans="1:4" ht="68.25" customHeight="1" x14ac:dyDescent="0.35">
      <c r="A17" s="112">
        <v>9</v>
      </c>
      <c r="B17" s="115" t="s">
        <v>102</v>
      </c>
      <c r="C17" s="106">
        <f>C16*D15</f>
        <v>8463724.9976799991</v>
      </c>
      <c r="D17" s="108"/>
    </row>
    <row r="18" spans="1:4" ht="21.75" customHeight="1" x14ac:dyDescent="0.35">
      <c r="A18" s="112">
        <v>10</v>
      </c>
      <c r="B18" s="117" t="s">
        <v>100</v>
      </c>
      <c r="C18" s="107">
        <v>1</v>
      </c>
      <c r="D18" s="108"/>
    </row>
    <row r="19" spans="1:4" ht="24.75" customHeight="1" x14ac:dyDescent="0.35">
      <c r="A19" s="112">
        <v>11</v>
      </c>
      <c r="B19" s="117" t="s">
        <v>101</v>
      </c>
      <c r="C19" s="129">
        <f>C17*C18</f>
        <v>8463724.9976799991</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21</vt:i4>
      </vt:variant>
      <vt:variant>
        <vt:lpstr>Nimega vahemikud</vt:lpstr>
      </vt:variant>
      <vt:variant>
        <vt:i4>9</vt:i4>
      </vt:variant>
    </vt:vector>
  </HeadingPairs>
  <TitlesOfParts>
    <vt:vector size="30" baseType="lpstr">
      <vt:lpstr>Juhend</vt:lpstr>
      <vt:lpstr>Esileht</vt:lpstr>
      <vt:lpstr>1. Projekti elluviimise kulud</vt:lpstr>
      <vt:lpstr>2. Tulud-kulud projektiga</vt:lpstr>
      <vt:lpstr>Kulud</vt:lpstr>
      <vt:lpstr>3. Tulud-kulud projektita</vt:lpstr>
      <vt:lpstr>4. Lisanduvad tulud-kulud</vt:lpstr>
      <vt:lpstr>7. Tasuvus</vt:lpstr>
      <vt:lpstr>5. Abikõlblik kulu</vt:lpstr>
      <vt:lpstr>6. Rahavood</vt:lpstr>
      <vt:lpstr>8. Jääkväärtus</vt:lpstr>
      <vt:lpstr>Maksumäärad</vt:lpstr>
      <vt:lpstr>Arvestusperioodid</vt:lpstr>
      <vt:lpstr>Sisendandmed</vt:lpstr>
      <vt:lpstr>Eelarve</vt:lpstr>
      <vt:lpstr>Tulu</vt:lpstr>
      <vt:lpstr>Investeeringud</vt:lpstr>
      <vt:lpstr>Link tabel</vt:lpstr>
      <vt:lpstr>Eeldused_muugi</vt:lpstr>
      <vt:lpstr>SM moju</vt:lpstr>
      <vt:lpstr>Помещения</vt:lpstr>
      <vt:lpstr>Eeldused_muugi!Prindiala</vt:lpstr>
      <vt:lpstr>Sisendandmed!Prindiala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2023-09-25T12:58:31Z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